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SEP_Interne\INDICATEURS\Tableaux de bord 2025\"/>
    </mc:Choice>
  </mc:AlternateContent>
  <bookViews>
    <workbookView xWindow="28680" yWindow="-120" windowWidth="29040" windowHeight="15720" tabRatio="778"/>
  </bookViews>
  <sheets>
    <sheet name="Fiche clg" sheetId="138" r:id="rId1"/>
    <sheet name="Base_clg" sheetId="151" r:id="rId2"/>
    <sheet name="Extract_R_20_10_25" sheetId="152" r:id="rId3"/>
  </sheets>
  <definedNames>
    <definedName name="_xlnm._FilterDatabase" localSheetId="1" hidden="1">Base_clg!$A$1:$DA$55</definedName>
    <definedName name="abs_coll_av_eff">#REF!</definedName>
    <definedName name="Abs_coll_avc_eff">#REF!</definedName>
    <definedName name="absentéisme_collèges_avec_effectifs">#REF!</definedName>
    <definedName name="Class">#REF!</definedName>
    <definedName name="Etablissement_Code">#REF!</definedName>
    <definedName name="faits_par_étab_2015_2016">#REF!</definedName>
    <definedName name="ids_lp_2015_2016">#REF!</definedName>
    <definedName name="ids_lycées_publics">#REF!</definedName>
    <definedName name="LP_abs1516">#REF!</definedName>
    <definedName name="lp_absentéisme_2015_2016">#REF!</definedName>
    <definedName name="lycées_absentéisme_2015_2016">#REF!</definedName>
    <definedName name="Moyenne_CCF_par_Etab">#REF!</definedName>
    <definedName name="moyenne_ccf_par_étab">#REF!</definedName>
    <definedName name="moyenne_ep_par_étab">#REF!</definedName>
    <definedName name="nuages">#REF!</definedName>
    <definedName name="_xlnm.Print_Area" localSheetId="0">'Fiche clg'!$B$1:$I$81,'Fiche clg'!$B$86:$I$140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" i="151" l="1"/>
  <c r="T3" i="151"/>
  <c r="S4" i="151"/>
  <c r="T4" i="151"/>
  <c r="S5" i="151"/>
  <c r="T5" i="151"/>
  <c r="S6" i="151"/>
  <c r="T6" i="151"/>
  <c r="S7" i="151"/>
  <c r="T7" i="151"/>
  <c r="S8" i="151"/>
  <c r="T8" i="151"/>
  <c r="S9" i="151"/>
  <c r="T9" i="151"/>
  <c r="S10" i="151"/>
  <c r="T10" i="151"/>
  <c r="S11" i="151"/>
  <c r="T11" i="151"/>
  <c r="S12" i="151"/>
  <c r="T12" i="151"/>
  <c r="S13" i="151"/>
  <c r="T13" i="151"/>
  <c r="S14" i="151"/>
  <c r="T14" i="151"/>
  <c r="S15" i="151"/>
  <c r="T15" i="151"/>
  <c r="S16" i="151"/>
  <c r="T16" i="151"/>
  <c r="S17" i="151"/>
  <c r="T17" i="151"/>
  <c r="S18" i="151"/>
  <c r="T18" i="151"/>
  <c r="S19" i="151"/>
  <c r="T19" i="151"/>
  <c r="S20" i="151"/>
  <c r="T20" i="151"/>
  <c r="S21" i="151"/>
  <c r="T21" i="151"/>
  <c r="S22" i="151"/>
  <c r="T22" i="151"/>
  <c r="S23" i="151"/>
  <c r="T23" i="151"/>
  <c r="S24" i="151"/>
  <c r="T24" i="151"/>
  <c r="S25" i="151"/>
  <c r="T25" i="151"/>
  <c r="S26" i="151"/>
  <c r="T26" i="151"/>
  <c r="S27" i="151"/>
  <c r="T27" i="151"/>
  <c r="S28" i="151"/>
  <c r="T28" i="151"/>
  <c r="S29" i="151"/>
  <c r="T29" i="151"/>
  <c r="S30" i="151"/>
  <c r="T30" i="151"/>
  <c r="S31" i="151"/>
  <c r="T31" i="151"/>
  <c r="S32" i="151"/>
  <c r="T32" i="151"/>
  <c r="S33" i="151"/>
  <c r="T33" i="151"/>
  <c r="S34" i="151"/>
  <c r="T34" i="151"/>
  <c r="S35" i="151"/>
  <c r="T35" i="151"/>
  <c r="S36" i="151"/>
  <c r="T36" i="151"/>
  <c r="S37" i="151"/>
  <c r="T37" i="151"/>
  <c r="S38" i="151"/>
  <c r="T38" i="151"/>
  <c r="S39" i="151"/>
  <c r="T39" i="151"/>
  <c r="S40" i="151"/>
  <c r="T40" i="151"/>
  <c r="S41" i="151"/>
  <c r="T41" i="151"/>
  <c r="S42" i="151"/>
  <c r="T42" i="151"/>
  <c r="S43" i="151"/>
  <c r="T43" i="151"/>
  <c r="S44" i="151"/>
  <c r="T44" i="151"/>
  <c r="S45" i="151"/>
  <c r="T45" i="151"/>
  <c r="S46" i="151"/>
  <c r="T46" i="151"/>
  <c r="S47" i="151"/>
  <c r="T47" i="151"/>
  <c r="S48" i="151"/>
  <c r="T48" i="151"/>
  <c r="S49" i="151"/>
  <c r="T49" i="151"/>
  <c r="S50" i="151"/>
  <c r="T50" i="151"/>
  <c r="S51" i="151"/>
  <c r="T51" i="151"/>
  <c r="S52" i="151"/>
  <c r="T52" i="151"/>
  <c r="S53" i="151"/>
  <c r="T53" i="151"/>
  <c r="S54" i="151"/>
  <c r="T54" i="151"/>
  <c r="S55" i="151"/>
  <c r="T55" i="151"/>
  <c r="T2" i="151"/>
  <c r="S2" i="151"/>
  <c r="R3" i="151"/>
  <c r="R4" i="151"/>
  <c r="R5" i="151"/>
  <c r="R6" i="151"/>
  <c r="R7" i="151"/>
  <c r="R8" i="151"/>
  <c r="R9" i="151"/>
  <c r="R10" i="151"/>
  <c r="R11" i="151"/>
  <c r="R12" i="151"/>
  <c r="R13" i="151"/>
  <c r="R14" i="151"/>
  <c r="R15" i="151"/>
  <c r="R16" i="151"/>
  <c r="R17" i="151"/>
  <c r="R18" i="151"/>
  <c r="R19" i="151"/>
  <c r="R20" i="151"/>
  <c r="R21" i="151"/>
  <c r="R22" i="151"/>
  <c r="R23" i="151"/>
  <c r="R24" i="151"/>
  <c r="R25" i="151"/>
  <c r="R26" i="151"/>
  <c r="R27" i="151"/>
  <c r="R28" i="151"/>
  <c r="R29" i="151"/>
  <c r="R30" i="151"/>
  <c r="R31" i="151"/>
  <c r="R32" i="151"/>
  <c r="R33" i="151"/>
  <c r="R34" i="151"/>
  <c r="R35" i="151"/>
  <c r="R36" i="151"/>
  <c r="R37" i="151"/>
  <c r="R38" i="151"/>
  <c r="R39" i="151"/>
  <c r="R40" i="151"/>
  <c r="R41" i="151"/>
  <c r="R42" i="151"/>
  <c r="R43" i="151"/>
  <c r="R44" i="151"/>
  <c r="R45" i="151"/>
  <c r="R46" i="151"/>
  <c r="R47" i="151"/>
  <c r="R48" i="151"/>
  <c r="R49" i="151"/>
  <c r="R50" i="151"/>
  <c r="R51" i="151"/>
  <c r="R52" i="151"/>
  <c r="R53" i="151"/>
  <c r="R54" i="151"/>
  <c r="R55" i="151"/>
  <c r="R2" i="151"/>
  <c r="CX3" i="151"/>
  <c r="CX4" i="151"/>
  <c r="CX5" i="151"/>
  <c r="CX6" i="151"/>
  <c r="CX7" i="151"/>
  <c r="CX8" i="151"/>
  <c r="CX9" i="151"/>
  <c r="CX10" i="151"/>
  <c r="CX11" i="151"/>
  <c r="CX12" i="151"/>
  <c r="CX13" i="151"/>
  <c r="CX14" i="151"/>
  <c r="CX15" i="151"/>
  <c r="CX16" i="151"/>
  <c r="CX17" i="151"/>
  <c r="CX18" i="151"/>
  <c r="CX19" i="151"/>
  <c r="CX20" i="151"/>
  <c r="CX21" i="151"/>
  <c r="CX22" i="151"/>
  <c r="CX23" i="151"/>
  <c r="CX24" i="151"/>
  <c r="CX25" i="151"/>
  <c r="CX26" i="151"/>
  <c r="CX27" i="151"/>
  <c r="CX28" i="151"/>
  <c r="CX29" i="151"/>
  <c r="CX30" i="151"/>
  <c r="CX31" i="151"/>
  <c r="CX32" i="151"/>
  <c r="CX33" i="151"/>
  <c r="CX34" i="151"/>
  <c r="CX35" i="151"/>
  <c r="CX36" i="151"/>
  <c r="CX37" i="151"/>
  <c r="CX38" i="151"/>
  <c r="CX39" i="151"/>
  <c r="CX40" i="151"/>
  <c r="CX41" i="151"/>
  <c r="CX42" i="151"/>
  <c r="CX43" i="151"/>
  <c r="CX44" i="151"/>
  <c r="CX45" i="151"/>
  <c r="CX46" i="151"/>
  <c r="CX47" i="151"/>
  <c r="CX48" i="151"/>
  <c r="CX49" i="151"/>
  <c r="CX50" i="151"/>
  <c r="CX51" i="151"/>
  <c r="CX52" i="151"/>
  <c r="CX53" i="151"/>
  <c r="CX54" i="151"/>
  <c r="CX55" i="151"/>
  <c r="CX2" i="151"/>
  <c r="B3" i="138" l="1"/>
  <c r="G51" i="138" l="1"/>
  <c r="H112" i="138"/>
  <c r="I98" i="138"/>
  <c r="H97" i="138"/>
  <c r="G96" i="138"/>
  <c r="I79" i="138"/>
  <c r="G66" i="138"/>
  <c r="H51" i="138"/>
  <c r="H48" i="138"/>
  <c r="I45" i="138"/>
  <c r="H111" i="138"/>
  <c r="I97" i="138"/>
  <c r="H96" i="138"/>
  <c r="G95" i="138"/>
  <c r="H79" i="138"/>
  <c r="I64" i="138"/>
  <c r="I50" i="138"/>
  <c r="G48" i="138"/>
  <c r="H45" i="138"/>
  <c r="H92" i="138"/>
  <c r="H78" i="138"/>
  <c r="G47" i="138"/>
  <c r="H91" i="138"/>
  <c r="G78" i="138"/>
  <c r="I46" i="138"/>
  <c r="I91" i="138"/>
  <c r="H80" i="138"/>
  <c r="G52" i="138"/>
  <c r="G110" i="138"/>
  <c r="G97" i="138"/>
  <c r="H66" i="138"/>
  <c r="I48" i="138"/>
  <c r="I112" i="138"/>
  <c r="I114" i="138"/>
  <c r="H110" i="138"/>
  <c r="I96" i="138"/>
  <c r="H95" i="138"/>
  <c r="G93" i="138"/>
  <c r="G79" i="138"/>
  <c r="H64" i="138"/>
  <c r="H50" i="138"/>
  <c r="I47" i="138"/>
  <c r="G45" i="138"/>
  <c r="I113" i="138"/>
  <c r="G114" i="138"/>
  <c r="I95" i="138"/>
  <c r="H93" i="138"/>
  <c r="G92" i="138"/>
  <c r="I78" i="138"/>
  <c r="G64" i="138"/>
  <c r="G50" i="138"/>
  <c r="H47" i="138"/>
  <c r="I111" i="138"/>
  <c r="I93" i="138"/>
  <c r="G91" i="138"/>
  <c r="I52" i="138"/>
  <c r="I49" i="138"/>
  <c r="G112" i="138"/>
  <c r="I92" i="138"/>
  <c r="I80" i="138"/>
  <c r="H52" i="138"/>
  <c r="H49" i="138"/>
  <c r="G111" i="138"/>
  <c r="G98" i="138"/>
  <c r="I66" i="138"/>
  <c r="G49" i="138"/>
  <c r="H46" i="138"/>
  <c r="H98" i="138"/>
  <c r="G80" i="138"/>
  <c r="I51" i="138"/>
  <c r="G46" i="138"/>
  <c r="G113" i="138"/>
  <c r="I110" i="138"/>
  <c r="H114" i="138"/>
  <c r="H113" i="138"/>
  <c r="G25" i="138"/>
  <c r="I25" i="138"/>
  <c r="F25" i="138"/>
  <c r="H24" i="138"/>
  <c r="G24" i="138"/>
  <c r="G23" i="138"/>
  <c r="E24" i="138"/>
  <c r="E23" i="138"/>
  <c r="I24" i="138"/>
  <c r="F24" i="138"/>
  <c r="H25" i="138"/>
  <c r="F23" i="138"/>
  <c r="E25" i="138"/>
  <c r="H23" i="138"/>
  <c r="I23" i="138"/>
  <c r="T126" i="138"/>
  <c r="L126" i="138"/>
  <c r="N126" i="138"/>
  <c r="M126" i="138"/>
  <c r="S126" i="138"/>
  <c r="P126" i="138"/>
  <c r="R126" i="138"/>
  <c r="Q126" i="138"/>
  <c r="O126" i="138"/>
  <c r="U126" i="138"/>
  <c r="G3" i="138"/>
  <c r="G77" i="138"/>
  <c r="H94" i="138"/>
  <c r="G94" i="138"/>
  <c r="H77" i="138"/>
  <c r="I77" i="138"/>
  <c r="I94" i="138"/>
  <c r="H44" i="138"/>
  <c r="H63" i="138"/>
  <c r="H76" i="138"/>
  <c r="H90" i="138"/>
  <c r="H109" i="138"/>
  <c r="K102" i="138" l="1"/>
  <c r="K57" i="138"/>
  <c r="K71" i="138" l="1"/>
</calcChain>
</file>

<file path=xl/sharedStrings.xml><?xml version="1.0" encoding="utf-8"?>
<sst xmlns="http://schemas.openxmlformats.org/spreadsheetml/2006/main" count="1595" uniqueCount="428">
  <si>
    <t>Moyens de fonctionnement</t>
  </si>
  <si>
    <t>–</t>
  </si>
  <si>
    <t>– –</t>
  </si>
  <si>
    <t>+</t>
  </si>
  <si>
    <t>+ +</t>
  </si>
  <si>
    <t>Moyens importants</t>
  </si>
  <si>
    <t>Population favorisée</t>
  </si>
  <si>
    <t>Parcours des élèves</t>
  </si>
  <si>
    <t>Radar</t>
  </si>
  <si>
    <t>Réussite aux examens</t>
  </si>
  <si>
    <t>-</t>
  </si>
  <si>
    <t>9830356V</t>
  </si>
  <si>
    <t>Directeur de SEGPA :</t>
  </si>
  <si>
    <t>CPE :</t>
  </si>
  <si>
    <t>Gestionnaire :</t>
  </si>
  <si>
    <t>Principal(e) :</t>
  </si>
  <si>
    <t>Principal(e) adjoint(e) :</t>
  </si>
  <si>
    <t>Mme Patricia LE ROHELLEC</t>
  </si>
  <si>
    <t>Mme Christine PURNAMA</t>
  </si>
  <si>
    <t>M. Emmanuel DEHEEGER</t>
  </si>
  <si>
    <t>M. Jean-Paul GRÈS</t>
  </si>
  <si>
    <t>Effectifs d'élèves</t>
  </si>
  <si>
    <t>Proportion d'élèves en retard à l'entrée en 6ème (%)</t>
  </si>
  <si>
    <t>Etablissement</t>
  </si>
  <si>
    <t>Public</t>
  </si>
  <si>
    <t>Identification</t>
  </si>
  <si>
    <t xml:space="preserve">Nombre d'heures d'enseignement devant élèves, </t>
  </si>
  <si>
    <t>Taux de passage 3è/2de GT (%)</t>
  </si>
  <si>
    <t>Taux de passage 3è/2de PRO (%)</t>
  </si>
  <si>
    <t>Taux de passage 3è/CAP (%)</t>
  </si>
  <si>
    <t>Taux d'accès 6è/3è en 4 ans (%)</t>
  </si>
  <si>
    <t>Taux de redoublement 3è (%)</t>
  </si>
  <si>
    <t>Taux de réussite au DNB (%)</t>
  </si>
  <si>
    <t>Ressources humaines</t>
  </si>
  <si>
    <t>Proportion d'enseignants de statut territorial (%)</t>
  </si>
  <si>
    <t>Proportion d'enseignants titulaires (%)</t>
  </si>
  <si>
    <t>Ancienneté moyenne des enseignants (année)</t>
  </si>
  <si>
    <t>Âge moyen des enseignants (année)</t>
  </si>
  <si>
    <t>Mme Nelly DUPONT-SUTTY et</t>
  </si>
  <si>
    <t>M. Julien BUZENET</t>
  </si>
  <si>
    <t>Nouméa</t>
  </si>
  <si>
    <t>Commune :</t>
  </si>
  <si>
    <t>Taux de passage 3è/2nde GT</t>
  </si>
  <si>
    <t>Taux de réussite au DNB</t>
  </si>
  <si>
    <t>% d'enseignants titulaires</t>
  </si>
  <si>
    <t>Taux de redoublement 3è*</t>
  </si>
  <si>
    <t>E/D*</t>
  </si>
  <si>
    <t>% élèves en retard en 6è*</t>
  </si>
  <si>
    <t>9830004M</t>
  </si>
  <si>
    <t>9830007R</t>
  </si>
  <si>
    <t>9830008S</t>
  </si>
  <si>
    <t>9830009T</t>
  </si>
  <si>
    <t>9830010U</t>
  </si>
  <si>
    <t>9830259P</t>
  </si>
  <si>
    <t>9830260R</t>
  </si>
  <si>
    <t>9830263U</t>
  </si>
  <si>
    <t>9830264V</t>
  </si>
  <si>
    <t>9830265W</t>
  </si>
  <si>
    <t>9830266X</t>
  </si>
  <si>
    <t>9830277J</t>
  </si>
  <si>
    <t>9830278K</t>
  </si>
  <si>
    <t>9830295D</t>
  </si>
  <si>
    <t>9830297F</t>
  </si>
  <si>
    <t>9830298G</t>
  </si>
  <si>
    <t>9830313Y</t>
  </si>
  <si>
    <t>9830354T</t>
  </si>
  <si>
    <t>9830355U</t>
  </si>
  <si>
    <t>9830357W</t>
  </si>
  <si>
    <t>9830381X</t>
  </si>
  <si>
    <t>9830382Y</t>
  </si>
  <si>
    <t>9830384A</t>
  </si>
  <si>
    <t>9830392J</t>
  </si>
  <si>
    <t>9830400T</t>
  </si>
  <si>
    <t>9830414H</t>
  </si>
  <si>
    <t>9830418M</t>
  </si>
  <si>
    <t>9830419N</t>
  </si>
  <si>
    <t>9830420P</t>
  </si>
  <si>
    <t>9830431B</t>
  </si>
  <si>
    <t>9830432C</t>
  </si>
  <si>
    <t>9830447U</t>
  </si>
  <si>
    <t>9830472W</t>
  </si>
  <si>
    <t>9830474Y</t>
  </si>
  <si>
    <t>9830477B</t>
  </si>
  <si>
    <t>9830482G</t>
  </si>
  <si>
    <t>9830493U</t>
  </si>
  <si>
    <t>9830518W</t>
  </si>
  <si>
    <t>9830522A</t>
  </si>
  <si>
    <t>9830524C</t>
  </si>
  <si>
    <t>9830538T</t>
  </si>
  <si>
    <t>9830616C</t>
  </si>
  <si>
    <t>9830624L</t>
  </si>
  <si>
    <t>9830625M</t>
  </si>
  <si>
    <t>9830626N</t>
  </si>
  <si>
    <t>9830632V</t>
  </si>
  <si>
    <t>9830639C</t>
  </si>
  <si>
    <t>9830640D</t>
  </si>
  <si>
    <t>9830649N</t>
  </si>
  <si>
    <t>9830656W</t>
  </si>
  <si>
    <t>9830681Y</t>
  </si>
  <si>
    <t>9830691J</t>
  </si>
  <si>
    <t>Privé</t>
  </si>
  <si>
    <t>par élève - niveau collège hors SEGPA et ULIS (H/E)</t>
  </si>
  <si>
    <t>Nombre d'élèves par division - niveau collège</t>
  </si>
  <si>
    <t>hors SEGPA et ULIS  (E/D)</t>
  </si>
  <si>
    <t>Rne - N° Etablissement</t>
  </si>
  <si>
    <t>Secteur (PU / PR)</t>
  </si>
  <si>
    <t>Appellation - Sigle</t>
  </si>
  <si>
    <t>Commune</t>
  </si>
  <si>
    <t xml:space="preserve">CLG           </t>
  </si>
  <si>
    <t xml:space="preserve">CLG PR        </t>
  </si>
  <si>
    <t>Poindimié</t>
  </si>
  <si>
    <t>La Foa</t>
  </si>
  <si>
    <t>Mont-Dore</t>
  </si>
  <si>
    <t>Païta</t>
  </si>
  <si>
    <t>Bourail</t>
  </si>
  <si>
    <t>Ouvéa</t>
  </si>
  <si>
    <t>Houaïlou</t>
  </si>
  <si>
    <t>Pouébo</t>
  </si>
  <si>
    <t>Koné</t>
  </si>
  <si>
    <t>Thio</t>
  </si>
  <si>
    <t>Ponerihouen</t>
  </si>
  <si>
    <t>Île des Pins</t>
  </si>
  <si>
    <t>Maré</t>
  </si>
  <si>
    <t>Lifou</t>
  </si>
  <si>
    <t>Kaala-Gomen</t>
  </si>
  <si>
    <t>Canala</t>
  </si>
  <si>
    <t>Voh</t>
  </si>
  <si>
    <t>Dumbéa</t>
  </si>
  <si>
    <t>Yaté</t>
  </si>
  <si>
    <t>Poum</t>
  </si>
  <si>
    <t>Ouégoa</t>
  </si>
  <si>
    <t>Poya</t>
  </si>
  <si>
    <t>Hienghène</t>
  </si>
  <si>
    <t xml:space="preserve">9830356V : Collège de Magenta                    </t>
  </si>
  <si>
    <t>RNE + dénomination</t>
  </si>
  <si>
    <t>9830004M : Collège Georges Baudoux</t>
  </si>
  <si>
    <t>9830007R : Collège de Koumac</t>
  </si>
  <si>
    <t>9830008S : Collège Raymond Vauthier</t>
  </si>
  <si>
    <t>9830009T : Collège Théodore Kawa Braïno</t>
  </si>
  <si>
    <t>9830010U : Collège Louis Leopold Djiet</t>
  </si>
  <si>
    <t>9830259P : Collège privé Champagnat (DDEC)</t>
  </si>
  <si>
    <t>9830260R : Collège privé Saint Joseph de Cluny (DDEC)</t>
  </si>
  <si>
    <t>9830263U : Collège privé de la Conception (DDEC)</t>
  </si>
  <si>
    <t>9830264V : Collège privé Sainte Marie  (DDEC)</t>
  </si>
  <si>
    <t>9830265W : Collège privé Sacré-Coeur (DDEC)</t>
  </si>
  <si>
    <t>9830266X : Collège privé Guillaume Douarre (DDEC)</t>
  </si>
  <si>
    <t>9830277J : Collège Jean Mariotti</t>
  </si>
  <si>
    <t>9830278K : Collège de Koné</t>
  </si>
  <si>
    <t>9830295D : Collège privé de Havila (ASEE)</t>
  </si>
  <si>
    <t>9830297F : Collège privé Hyppolyte Bonou (DDEC)</t>
  </si>
  <si>
    <t>9830298G : Collège privé Francis Rouge (DDEC)</t>
  </si>
  <si>
    <t>9830313Y : Collège privé Yves Marie Hily (DDEC)</t>
  </si>
  <si>
    <t>9830354T : Collège privé de Vao (DDEC)</t>
  </si>
  <si>
    <t>9830355U : Collège la Colline</t>
  </si>
  <si>
    <t>9830381X : Collège privé Saint Dominique Savio (DDEC)</t>
  </si>
  <si>
    <t>9830382Y : Collège privé Jean-Baptiste Vigouroux (DDEC)</t>
  </si>
  <si>
    <t>9830384A : Collège de Boulari</t>
  </si>
  <si>
    <t>9830392J : Collège privé de Taremen (ASEE)</t>
  </si>
  <si>
    <t>9830400T : Collège privé de Hnathalo  (DDEC)</t>
  </si>
  <si>
    <t>9830414H : Collège de Tadine</t>
  </si>
  <si>
    <t>9830418M : Collège de Wani</t>
  </si>
  <si>
    <t>9830419N : Collège de Canala + GOD de Kouaoua</t>
  </si>
  <si>
    <t>9830420P : Collège privé Hnaizianu (ASEE)</t>
  </si>
  <si>
    <t>9830431B : Collège privé de Baganda (ASEE)</t>
  </si>
  <si>
    <t>9830432C : Collège privé de Tieta  (FELP)</t>
  </si>
  <si>
    <t>9830447U : Collège privé Eben Eza (ASEE)</t>
  </si>
  <si>
    <t>9830472W : Collège privé de Mou (FELP)</t>
  </si>
  <si>
    <t>9830474Y : Collège Francis Carco (Koutio)</t>
  </si>
  <si>
    <t>9830477B : Collège de Yaté</t>
  </si>
  <si>
    <t>9830482G : Collège de la Roche</t>
  </si>
  <si>
    <t>9830493U : Collège Essau Voudjo</t>
  </si>
  <si>
    <t>9830518W : Collège privé Boaouva Kaleba (ASEE)</t>
  </si>
  <si>
    <t>9830522A : Collège Pai-Kaileone</t>
  </si>
  <si>
    <t>9830524C : Collège de Kaméré</t>
  </si>
  <si>
    <t>9830538T : Collège de Normandie</t>
  </si>
  <si>
    <t>9830616C : Collège Louise Michèle (paita sud)</t>
  </si>
  <si>
    <t>9830624L : Collège de Plum</t>
  </si>
  <si>
    <t>9830625M : Collège des Portes de Fer</t>
  </si>
  <si>
    <t>9830626N : Collège Jean Fayard (Katiramona)</t>
  </si>
  <si>
    <t>9830632V : Collège de Ouégoa</t>
  </si>
  <si>
    <t>9830639C : Collège Shea Tiaou</t>
  </si>
  <si>
    <t>9830640D : Collège Edmée Varin (Auteuil)</t>
  </si>
  <si>
    <t>9830649N : Collège Tuband</t>
  </si>
  <si>
    <t>9830656W : Collège Ondemia (Païta nord)</t>
  </si>
  <si>
    <t>9830681Y : Collège Dumbéa sur Mer</t>
  </si>
  <si>
    <t>9830691J : Collège de Païamboué</t>
  </si>
  <si>
    <t>eff_niv_clg_2012</t>
  </si>
  <si>
    <t>eff_segpa_2012</t>
  </si>
  <si>
    <t>eff_pro_2012</t>
  </si>
  <si>
    <t>pcs_def_etab</t>
  </si>
  <si>
    <t>pcs_def_sec</t>
  </si>
  <si>
    <t>pcs_def_aca</t>
  </si>
  <si>
    <t>pcs_tfav_etab</t>
  </si>
  <si>
    <t>pcs_tfav_sec</t>
  </si>
  <si>
    <t>pcs_tfav_aca</t>
  </si>
  <si>
    <t>ips_etab</t>
  </si>
  <si>
    <t>ips_sec</t>
  </si>
  <si>
    <t>ips_aca</t>
  </si>
  <si>
    <t>retard_etab</t>
  </si>
  <si>
    <t>retard_sec</t>
  </si>
  <si>
    <t>retard_aca</t>
  </si>
  <si>
    <t>h/e_etab</t>
  </si>
  <si>
    <t>h/e_sec</t>
  </si>
  <si>
    <t>h/e_aca</t>
  </si>
  <si>
    <t>e/d_etab</t>
  </si>
  <si>
    <t>e/d_sec</t>
  </si>
  <si>
    <t>e/d_aca</t>
  </si>
  <si>
    <t>pas_3è-gt_etab</t>
  </si>
  <si>
    <t>pas_3è-gt_sec</t>
  </si>
  <si>
    <t>pas_3è-gt_aca</t>
  </si>
  <si>
    <t>pas_3è-pro_etab</t>
  </si>
  <si>
    <t>pas_3è-pro_sec</t>
  </si>
  <si>
    <t>pas_3è-pro_aca</t>
  </si>
  <si>
    <t>pas_3è-cap_etab</t>
  </si>
  <si>
    <t>pas_3è-cap_sec</t>
  </si>
  <si>
    <t>pas_3è-cap_aca</t>
  </si>
  <si>
    <t>acc6-3è_etab</t>
  </si>
  <si>
    <t>acc6-3è_sec</t>
  </si>
  <si>
    <t>acc6-3è_aca</t>
  </si>
  <si>
    <t>red3è_etab</t>
  </si>
  <si>
    <t>red3è_sec</t>
  </si>
  <si>
    <t>red3è_aca</t>
  </si>
  <si>
    <t>ens_terr_etab</t>
  </si>
  <si>
    <t>ens_terr_sec</t>
  </si>
  <si>
    <t>ens_terr_aca</t>
  </si>
  <si>
    <t>ens_tit_etab</t>
  </si>
  <si>
    <t>ens_tit_sec</t>
  </si>
  <si>
    <t>ens_tit_aca</t>
  </si>
  <si>
    <t>anc_etab</t>
  </si>
  <si>
    <t>anc_sec</t>
  </si>
  <si>
    <t>anc_aca</t>
  </si>
  <si>
    <t>age_etab</t>
  </si>
  <si>
    <t>age_sec</t>
  </si>
  <si>
    <t>age_aca</t>
  </si>
  <si>
    <t>Parcours plus performant</t>
  </si>
  <si>
    <r>
      <t xml:space="preserve">Population défavorisée </t>
    </r>
    <r>
      <rPr>
        <b/>
        <sz val="8"/>
        <rFont val="Arial"/>
        <family val="2"/>
      </rPr>
      <t>(classement des établissements publics et privés)</t>
    </r>
  </si>
  <si>
    <r>
      <t xml:space="preserve">Moyens faibles </t>
    </r>
    <r>
      <rPr>
        <b/>
        <sz val="8"/>
        <rFont val="Arial"/>
        <family val="2"/>
      </rPr>
      <t>(classement des établissements publics et privés)</t>
    </r>
  </si>
  <si>
    <r>
      <t xml:space="preserve">Parcours moins performant </t>
    </r>
    <r>
      <rPr>
        <b/>
        <sz val="8"/>
        <rFont val="Arial"/>
        <family val="2"/>
      </rPr>
      <t>(classement des établissements publics et privés)</t>
    </r>
  </si>
  <si>
    <t>* Inversé</t>
  </si>
  <si>
    <t>Public + privé</t>
  </si>
  <si>
    <t>&lt;= Sélectionner l'établissement dans la liste déroulante (cliquer sur la flèche indiquant vers le bas)</t>
  </si>
  <si>
    <t>9830698S : Collège Apogoti</t>
  </si>
  <si>
    <t>9830698S</t>
  </si>
  <si>
    <t>Ecart taux de réussite des PCS défavorisées (points)</t>
  </si>
  <si>
    <t>9830357W : Collège Laura Boula + GOD de Mou</t>
  </si>
  <si>
    <t>écartmoydnb_etab</t>
  </si>
  <si>
    <t>écartmoydnb_sec</t>
  </si>
  <si>
    <t>écartmoydnb_aca</t>
  </si>
  <si>
    <t>Note moyenne au socle du DNB (sur 20)</t>
  </si>
  <si>
    <t>Note moyenne à l'écrit du DNB (sur 20)</t>
  </si>
  <si>
    <t>maitrise_fr_etab</t>
  </si>
  <si>
    <t>maitrise_fr_sec</t>
  </si>
  <si>
    <t>maitrise_fr_aca</t>
  </si>
  <si>
    <t>maitrise_maths_etab</t>
  </si>
  <si>
    <t>maitrise_maths_sec</t>
  </si>
  <si>
    <t>maitrise_maths_aca</t>
  </si>
  <si>
    <t>Indice de position sociale niveau collège hors SEGPA</t>
  </si>
  <si>
    <t>ie_etab</t>
  </si>
  <si>
    <t>ie_sec</t>
  </si>
  <si>
    <t>ie_aca</t>
  </si>
  <si>
    <t>Indice de position sociale</t>
  </si>
  <si>
    <t>Indice d'éloignement</t>
  </si>
  <si>
    <t>Indice d'éloignement*</t>
  </si>
  <si>
    <t>Contexte scolaire</t>
  </si>
  <si>
    <t>Note moyenne à la soutenance orale de projet (sur 20)</t>
  </si>
  <si>
    <t>réussite_dnb_etab</t>
  </si>
  <si>
    <t>réussite_dnb_sec</t>
  </si>
  <si>
    <t>réussite_dnb_aca</t>
  </si>
  <si>
    <t>écartdef_etab</t>
  </si>
  <si>
    <t>écartdef_sec</t>
  </si>
  <si>
    <t>écartdef_aca</t>
  </si>
  <si>
    <t>moyecrit_etab</t>
  </si>
  <si>
    <t>moyecrit_sec</t>
  </si>
  <si>
    <t>moyecrit_aca</t>
  </si>
  <si>
    <t>oraldnb_etab</t>
  </si>
  <si>
    <t>oraldnb_sec</t>
  </si>
  <si>
    <t>oraldnb_aca</t>
  </si>
  <si>
    <t>moysocle_etab</t>
  </si>
  <si>
    <t>moysocle_sec</t>
  </si>
  <si>
    <t>moysocle_aca</t>
  </si>
  <si>
    <t>devenirGT_etab</t>
  </si>
  <si>
    <t>devenirGT_sec</t>
  </si>
  <si>
    <t>devenirGT_aca</t>
  </si>
  <si>
    <t>devenirPRO_etab</t>
  </si>
  <si>
    <t>devenirPRO_sec</t>
  </si>
  <si>
    <t>devenirPRO_aca</t>
  </si>
  <si>
    <t>devenirCAP_etab</t>
  </si>
  <si>
    <t>devenirCAP_sec</t>
  </si>
  <si>
    <t>devenirCAP_aca</t>
  </si>
  <si>
    <t>Orientation en 1ère GT des élèves de 3ème en fin de 2nde GT</t>
  </si>
  <si>
    <t>Orientation en 1ère PRO des élèves de 3ème en fin de 2nde PRO</t>
  </si>
  <si>
    <t>Orientation en 2è année de CAP des élèves de 3ème en fin de 1ère année de CAP</t>
  </si>
  <si>
    <t>Proportion d'élèves issus de PCS défavorisées (%)</t>
  </si>
  <si>
    <t>Proportion d'élèves issus de PCS très favorisées (%)</t>
  </si>
  <si>
    <t>boursier_etab</t>
  </si>
  <si>
    <t>boursier_sec</t>
  </si>
  <si>
    <t>boursier_aca</t>
  </si>
  <si>
    <t>Taux de boursiers niveau collège hors SEGPA</t>
  </si>
  <si>
    <t>Koumac</t>
  </si>
  <si>
    <t>Proportion d'élèves entrant en 6è ayant un bas niveau en français (%)</t>
  </si>
  <si>
    <t>Proportion d'élèves entrant en 6è ayant un bas niveau en mathématiques (%)</t>
  </si>
  <si>
    <t>Maîtrise du français*</t>
  </si>
  <si>
    <t>Maîtrise des mathématiques*</t>
  </si>
  <si>
    <t>Bas niveau en français en 6è*</t>
  </si>
  <si>
    <t>Bas niveau en mathématiques en 6è*</t>
  </si>
  <si>
    <t>Année 2024</t>
  </si>
  <si>
    <t>nd</t>
  </si>
  <si>
    <t>eff_pro_n</t>
  </si>
  <si>
    <t>eff_segpa_n</t>
  </si>
  <si>
    <t>eff_niv_clg_n</t>
  </si>
  <si>
    <t>eff_pro_n-1</t>
  </si>
  <si>
    <t>eff_segpa_n-1</t>
  </si>
  <si>
    <t>eff_niv_clg_n-1</t>
  </si>
  <si>
    <t>eff_pro_n-2</t>
  </si>
  <si>
    <t>eff_segpa_n-2</t>
  </si>
  <si>
    <t>eff_niv_clg_n-2</t>
  </si>
  <si>
    <t>Année 2025</t>
  </si>
  <si>
    <t>Années 2024-2025</t>
  </si>
  <si>
    <t>collège</t>
  </si>
  <si>
    <t>enseignement adapté</t>
  </si>
  <si>
    <t>lycée PRO</t>
  </si>
  <si>
    <t>De niveau collège</t>
  </si>
  <si>
    <t>De niveau lycée PRO</t>
  </si>
  <si>
    <t>De l'enseignement adapté</t>
  </si>
  <si>
    <t>etab_patronyme</t>
  </si>
  <si>
    <t>Code UAI</t>
  </si>
  <si>
    <t>Post-bac</t>
  </si>
  <si>
    <t>Voie GT</t>
  </si>
  <si>
    <t>Collège</t>
  </si>
  <si>
    <t>Voie pro</t>
  </si>
  <si>
    <t>Segpa</t>
  </si>
  <si>
    <t>Autres</t>
  </si>
  <si>
    <t>ANTOINE KELA</t>
  </si>
  <si>
    <t>9830507J</t>
  </si>
  <si>
    <t>APOGOTI</t>
  </si>
  <si>
    <t>APOLLINAIRE ANOVA (DDEC)</t>
  </si>
  <si>
    <t>9830504F</t>
  </si>
  <si>
    <t>AUGUSTIN TY</t>
  </si>
  <si>
    <t>9830460H</t>
  </si>
  <si>
    <t>BLAISE PASCAL (DDEC)</t>
  </si>
  <si>
    <t>9830261S</t>
  </si>
  <si>
    <t>BOAOUVA KALEBA</t>
  </si>
  <si>
    <t>CHAMPAGNAT (DDEC)</t>
  </si>
  <si>
    <t>COMMERCIAL ET HOTELIER</t>
  </si>
  <si>
    <t>9830006P</t>
  </si>
  <si>
    <t>DE BAGANDA</t>
  </si>
  <si>
    <t>DE BOULARI</t>
  </si>
  <si>
    <t>DE CANALA</t>
  </si>
  <si>
    <t>DE HAVILA</t>
  </si>
  <si>
    <t>DE HNATHALO  (DDEC)</t>
  </si>
  <si>
    <t>DE KAMERE</t>
  </si>
  <si>
    <t>DE KONE</t>
  </si>
  <si>
    <t>DE KOUMAC</t>
  </si>
  <si>
    <t>DE LA CONCEPTION (DDEC)</t>
  </si>
  <si>
    <t>DE LA ROCHE</t>
  </si>
  <si>
    <t>DE MAGENTA</t>
  </si>
  <si>
    <t>DE MOU (FELP)</t>
  </si>
  <si>
    <t>DE NORMANDIE</t>
  </si>
  <si>
    <t>DE OUEGOA</t>
  </si>
  <si>
    <t>DE PAIAMBOUE</t>
  </si>
  <si>
    <t>DE PLUM</t>
  </si>
  <si>
    <t>DE TADINE</t>
  </si>
  <si>
    <t>DE TAREMEN</t>
  </si>
  <si>
    <t>DE TIETA  (FELP)</t>
  </si>
  <si>
    <t>DE VAO (DDEC)</t>
  </si>
  <si>
    <t>DE WANI</t>
  </si>
  <si>
    <t>DE YATE</t>
  </si>
  <si>
    <t>DES PORTES DE FER</t>
  </si>
  <si>
    <t>DICK UKEIWE</t>
  </si>
  <si>
    <t>9830557N</t>
  </si>
  <si>
    <t>DO KAMO</t>
  </si>
  <si>
    <t>9830377T</t>
  </si>
  <si>
    <t>DU MONT-DORE</t>
  </si>
  <si>
    <t>9830693L</t>
  </si>
  <si>
    <t>DUMBEA SUR MER 1</t>
  </si>
  <si>
    <t>EBEN EZA</t>
  </si>
  <si>
    <t>EDMEE VARIN</t>
  </si>
  <si>
    <t>ESSAU VOUDJO</t>
  </si>
  <si>
    <t>FRANCIS CARCO</t>
  </si>
  <si>
    <t>FRANCIS ROUGE  (DDEC)</t>
  </si>
  <si>
    <t>FRANCOIS D ASSISE  (DDEC)</t>
  </si>
  <si>
    <t>9830272D</t>
  </si>
  <si>
    <t>GABRIEL PAITA</t>
  </si>
  <si>
    <t>GABRIEL RIVAT (DDEC)</t>
  </si>
  <si>
    <t>9830273E</t>
  </si>
  <si>
    <t>GEORGES BAUDOUX</t>
  </si>
  <si>
    <t>GUILLAUME DOUARRE (DDEC)</t>
  </si>
  <si>
    <t>HNAIZIANU</t>
  </si>
  <si>
    <t>HYPPOLYTE BONOU (DDEC)</t>
  </si>
  <si>
    <t>JEAN FAYARD</t>
  </si>
  <si>
    <t>JEAN MARIOTTI</t>
  </si>
  <si>
    <t>JEAN-BAPTISTE VIGOUROUX (DDEC)</t>
  </si>
  <si>
    <t>JULES GARNIER</t>
  </si>
  <si>
    <t>9830003L</t>
  </si>
  <si>
    <t>LA COLLINE (DE THIO)</t>
  </si>
  <si>
    <t>LA PEROUSE</t>
  </si>
  <si>
    <t>9830002K</t>
  </si>
  <si>
    <t>LAURA BOULA (WE)</t>
  </si>
  <si>
    <t>LOUIS LEOPOLD DJIET</t>
  </si>
  <si>
    <t>LOUISE MICHELE</t>
  </si>
  <si>
    <t>MARCELLIN CHAMPAGNAT (DDEC)</t>
  </si>
  <si>
    <t>9830271C</t>
  </si>
  <si>
    <t>MICHEL ROCARD</t>
  </si>
  <si>
    <t>9830635Y</t>
  </si>
  <si>
    <t>PAI-KAILEONE</t>
  </si>
  <si>
    <t>PERE GUENEAU (DDEC)</t>
  </si>
  <si>
    <t>9830294C</t>
  </si>
  <si>
    <t>PETRO ATTITI</t>
  </si>
  <si>
    <t>9830306R</t>
  </si>
  <si>
    <t>RAYMOND VAUTHIER</t>
  </si>
  <si>
    <t>SACRE-COEUR (DDEC)</t>
  </si>
  <si>
    <t>SAINT JEAN XXIII (DDEC)</t>
  </si>
  <si>
    <t>9830270B</t>
  </si>
  <si>
    <t>SAINTE MARIE  (DDEC)</t>
  </si>
  <si>
    <t>SHEA TIAOU</t>
  </si>
  <si>
    <t>ST DOMINIQUE SAVIO (DDEC)</t>
  </si>
  <si>
    <t>ST JOSEPH DE CLUNY (DDEC)</t>
  </si>
  <si>
    <t>9830269A</t>
  </si>
  <si>
    <t>ST PIERRE CHANEL (DDEC)</t>
  </si>
  <si>
    <t>9830401U</t>
  </si>
  <si>
    <t>THÉODORE KAWA BRAÏNO</t>
  </si>
  <si>
    <t>TUBAND</t>
  </si>
  <si>
    <t>WILLIAMA HAUDRA</t>
  </si>
  <si>
    <t>9830483H</t>
  </si>
  <si>
    <t>YVES MARIE  HILY  (DDEC)</t>
  </si>
  <si>
    <t>eff_segpa_Extract</t>
  </si>
  <si>
    <t>eff_niv_clg_Extract</t>
  </si>
  <si>
    <t>eff_pro_Extract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</si>
</sst>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0.000"/>
  </numFmts>
  <fonts count="47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 Unicode MS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b/>
      <sz val="12"/>
      <color theme="9" tint="-0.249977111117893"/>
      <name val="Arial"/>
      <family val="2"/>
    </font>
    <font>
      <sz val="14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1">
    <xf numFmtId="0" fontId="0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4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2" borderId="1" applyNumberFormat="0" applyAlignment="0" applyProtection="0"/>
    <xf numFmtId="0" fontId="15" fillId="0" borderId="2" applyNumberFormat="0" applyFill="0" applyAlignment="0" applyProtection="0"/>
    <xf numFmtId="0" fontId="8" fillId="6" borderId="3" applyNumberFormat="0" applyFont="0" applyAlignment="0" applyProtection="0"/>
    <xf numFmtId="0" fontId="16" fillId="8" borderId="1" applyNumberFormat="0" applyAlignment="0" applyProtection="0"/>
    <xf numFmtId="0" fontId="17" fillId="5" borderId="0" applyNumberFormat="0" applyBorder="0" applyAlignment="0" applyProtection="0"/>
    <xf numFmtId="0" fontId="18" fillId="11" borderId="0" applyNumberFormat="0" applyBorder="0" applyAlignment="0" applyProtection="0"/>
    <xf numFmtId="0" fontId="9" fillId="0" borderId="0"/>
    <xf numFmtId="0" fontId="19" fillId="7" borderId="0" applyNumberFormat="0" applyBorder="0" applyAlignment="0" applyProtection="0"/>
    <xf numFmtId="0" fontId="20" fillId="22" borderId="4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23" borderId="9" applyNumberFormat="0" applyAlignment="0" applyProtection="0"/>
    <xf numFmtId="44" fontId="8" fillId="0" borderId="0" applyFont="0" applyFill="0" applyBorder="0" applyAlignment="0" applyProtection="0"/>
    <xf numFmtId="0" fontId="8" fillId="0" borderId="0"/>
    <xf numFmtId="0" fontId="7" fillId="0" borderId="0"/>
    <xf numFmtId="0" fontId="28" fillId="0" borderId="0"/>
    <xf numFmtId="9" fontId="9" fillId="0" borderId="0" applyFont="0" applyFill="0" applyBorder="0" applyAlignment="0" applyProtection="0"/>
    <xf numFmtId="0" fontId="8" fillId="0" borderId="0"/>
    <xf numFmtId="0" fontId="29" fillId="0" borderId="0"/>
    <xf numFmtId="164" fontId="8" fillId="0" borderId="0" applyFont="0" applyFill="0" applyBorder="0" applyAlignment="0" applyProtection="0"/>
    <xf numFmtId="0" fontId="6" fillId="0" borderId="0"/>
    <xf numFmtId="0" fontId="30" fillId="0" borderId="0"/>
    <xf numFmtId="0" fontId="31" fillId="0" borderId="0"/>
    <xf numFmtId="0" fontId="9" fillId="0" borderId="0"/>
    <xf numFmtId="0" fontId="5" fillId="0" borderId="0"/>
    <xf numFmtId="0" fontId="32" fillId="0" borderId="0"/>
    <xf numFmtId="0" fontId="9" fillId="0" borderId="0"/>
    <xf numFmtId="0" fontId="9" fillId="0" borderId="0"/>
    <xf numFmtId="9" fontId="8" fillId="0" borderId="0" applyFont="0" applyFill="0" applyBorder="0" applyAlignment="0" applyProtection="0"/>
    <xf numFmtId="0" fontId="34" fillId="0" borderId="0"/>
    <xf numFmtId="0" fontId="4" fillId="0" borderId="0"/>
    <xf numFmtId="0" fontId="35" fillId="0" borderId="0"/>
    <xf numFmtId="0" fontId="36" fillId="0" borderId="0"/>
    <xf numFmtId="0" fontId="3" fillId="0" borderId="0"/>
    <xf numFmtId="0" fontId="2" fillId="0" borderId="0"/>
    <xf numFmtId="0" fontId="9" fillId="0" borderId="0"/>
    <xf numFmtId="0" fontId="3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9" fillId="0" borderId="0" xfId="0" applyFont="1"/>
    <xf numFmtId="0" fontId="10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40" fillId="0" borderId="0" xfId="0" applyFont="1" applyAlignment="1">
      <alignment horizontal="left" wrapText="1"/>
    </xf>
    <xf numFmtId="0" fontId="40" fillId="0" borderId="0" xfId="0" applyFont="1" applyAlignment="1">
      <alignment vertical="center" wrapText="1"/>
    </xf>
    <xf numFmtId="0" fontId="40" fillId="0" borderId="0" xfId="0" applyFont="1" applyAlignment="1"/>
    <xf numFmtId="0" fontId="10" fillId="0" borderId="10" xfId="0" applyFont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0" fontId="40" fillId="0" borderId="0" xfId="0" applyFont="1" applyAlignment="1">
      <alignment vertical="top"/>
    </xf>
    <xf numFmtId="0" fontId="40" fillId="0" borderId="0" xfId="0" applyFont="1" applyAlignment="1">
      <alignment vertical="center"/>
    </xf>
    <xf numFmtId="0" fontId="41" fillId="25" borderId="0" xfId="0" quotePrefix="1" applyFont="1" applyFill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165" fontId="9" fillId="0" borderId="0" xfId="0" applyNumberFormat="1" applyFont="1" applyFill="1" applyAlignment="1">
      <alignment horizontal="center"/>
    </xf>
    <xf numFmtId="0" fontId="9" fillId="0" borderId="0" xfId="0" quotePrefix="1" applyFont="1" applyAlignment="1">
      <alignment horizontal="left"/>
    </xf>
    <xf numFmtId="0" fontId="9" fillId="0" borderId="0" xfId="0" applyFont="1" applyAlignment="1">
      <alignment horizontal="left"/>
    </xf>
    <xf numFmtId="0" fontId="33" fillId="0" borderId="0" xfId="0" applyFont="1"/>
    <xf numFmtId="0" fontId="39" fillId="0" borderId="0" xfId="0" applyFont="1"/>
    <xf numFmtId="3" fontId="9" fillId="0" borderId="12" xfId="0" applyNumberFormat="1" applyFont="1" applyFill="1" applyBorder="1" applyAlignment="1">
      <alignment horizontal="center"/>
    </xf>
    <xf numFmtId="165" fontId="9" fillId="0" borderId="12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42" fillId="0" borderId="0" xfId="0" applyFont="1"/>
    <xf numFmtId="0" fontId="9" fillId="24" borderId="0" xfId="0" applyFont="1" applyFill="1"/>
    <xf numFmtId="0" fontId="10" fillId="24" borderId="0" xfId="0" applyFont="1" applyFill="1"/>
    <xf numFmtId="165" fontId="10" fillId="0" borderId="0" xfId="0" applyNumberFormat="1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right"/>
    </xf>
    <xf numFmtId="165" fontId="9" fillId="0" borderId="0" xfId="0" applyNumberFormat="1" applyFont="1" applyFill="1"/>
    <xf numFmtId="0" fontId="39" fillId="0" borderId="0" xfId="0" applyFont="1" applyFill="1"/>
    <xf numFmtId="0" fontId="10" fillId="0" borderId="12" xfId="0" applyFont="1" applyFill="1" applyBorder="1" applyAlignment="1">
      <alignment horizontal="center"/>
    </xf>
    <xf numFmtId="0" fontId="43" fillId="0" borderId="0" xfId="0" applyFont="1"/>
    <xf numFmtId="165" fontId="43" fillId="0" borderId="0" xfId="0" applyNumberFormat="1" applyFont="1" applyAlignment="1">
      <alignment horizontal="center"/>
    </xf>
    <xf numFmtId="0" fontId="44" fillId="0" borderId="0" xfId="0" applyFont="1"/>
    <xf numFmtId="165" fontId="9" fillId="24" borderId="12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 wrapText="1"/>
    </xf>
    <xf numFmtId="165" fontId="9" fillId="0" borderId="0" xfId="0" applyNumberFormat="1" applyFont="1"/>
    <xf numFmtId="165" fontId="9" fillId="0" borderId="0" xfId="0" applyNumberFormat="1" applyFont="1" applyFill="1" applyAlignment="1">
      <alignment horizontal="right"/>
    </xf>
    <xf numFmtId="0" fontId="45" fillId="0" borderId="0" xfId="0" applyFont="1"/>
    <xf numFmtId="0" fontId="43" fillId="0" borderId="0" xfId="0" applyFont="1" applyFill="1"/>
    <xf numFmtId="165" fontId="43" fillId="0" borderId="0" xfId="0" applyNumberFormat="1" applyFont="1" applyFill="1"/>
    <xf numFmtId="165" fontId="43" fillId="0" borderId="0" xfId="0" applyNumberFormat="1" applyFont="1" applyFill="1" applyAlignment="1">
      <alignment horizontal="center"/>
    </xf>
    <xf numFmtId="0" fontId="43" fillId="0" borderId="0" xfId="0" applyFont="1" applyFill="1" applyAlignment="1">
      <alignment horizontal="right"/>
    </xf>
    <xf numFmtId="166" fontId="43" fillId="0" borderId="0" xfId="0" applyNumberFormat="1" applyFont="1" applyFill="1" applyAlignment="1">
      <alignment horizontal="center"/>
    </xf>
    <xf numFmtId="0" fontId="43" fillId="0" borderId="0" xfId="0" applyFont="1" applyFill="1" applyAlignment="1">
      <alignment horizontal="center" wrapText="1"/>
    </xf>
    <xf numFmtId="0" fontId="9" fillId="29" borderId="0" xfId="0" applyFont="1" applyFill="1"/>
    <xf numFmtId="0" fontId="46" fillId="0" borderId="0" xfId="0" applyFont="1" applyFill="1"/>
    <xf numFmtId="0" fontId="39" fillId="0" borderId="0" xfId="0" applyFont="1" applyFill="1" applyAlignment="1">
      <alignment horizontal="center" wrapText="1"/>
    </xf>
    <xf numFmtId="165" fontId="39" fillId="0" borderId="0" xfId="0" applyNumberFormat="1" applyFont="1" applyFill="1" applyAlignment="1">
      <alignment horizontal="center"/>
    </xf>
    <xf numFmtId="165" fontId="39" fillId="0" borderId="0" xfId="0" applyNumberFormat="1" applyFont="1" applyAlignment="1">
      <alignment horizontal="center"/>
    </xf>
    <xf numFmtId="0" fontId="43" fillId="29" borderId="0" xfId="0" applyFont="1" applyFill="1"/>
    <xf numFmtId="0" fontId="9" fillId="0" borderId="0" xfId="0" quotePrefix="1" applyFont="1" applyFill="1" applyAlignment="1">
      <alignment horizontal="right"/>
    </xf>
    <xf numFmtId="0" fontId="9" fillId="0" borderId="0" xfId="0" applyNumberFormat="1" applyFont="1" applyFill="1" applyAlignment="1">
      <alignment horizontal="right"/>
    </xf>
    <xf numFmtId="165" fontId="9" fillId="0" borderId="0" xfId="0" quotePrefix="1" applyNumberFormat="1" applyFont="1" applyFill="1" applyAlignment="1">
      <alignment horizontal="right"/>
    </xf>
    <xf numFmtId="2" fontId="9" fillId="0" borderId="0" xfId="0" applyNumberFormat="1" applyFont="1" applyFill="1" applyAlignment="1">
      <alignment horizontal="right"/>
    </xf>
    <xf numFmtId="0" fontId="9" fillId="0" borderId="0" xfId="0" applyNumberFormat="1" applyFont="1" applyFill="1"/>
    <xf numFmtId="0" fontId="0" fillId="0" borderId="0" xfId="0" applyFill="1"/>
    <xf numFmtId="165" fontId="39" fillId="0" borderId="0" xfId="0" applyNumberFormat="1" applyFont="1" applyFill="1" applyAlignment="1">
      <alignment horizontal="center" wrapText="1"/>
    </xf>
    <xf numFmtId="165" fontId="39" fillId="0" borderId="0" xfId="0" applyNumberFormat="1" applyFont="1" applyFill="1"/>
    <xf numFmtId="0" fontId="39" fillId="0" borderId="0" xfId="0" applyFont="1" applyFill="1" applyAlignment="1">
      <alignment horizontal="right"/>
    </xf>
    <xf numFmtId="14" fontId="10" fillId="0" borderId="12" xfId="0" applyNumberFormat="1" applyFont="1" applyFill="1" applyBorder="1" applyAlignment="1">
      <alignment horizontal="center"/>
    </xf>
    <xf numFmtId="0" fontId="9" fillId="0" borderId="0" xfId="0" applyFont="1" applyAlignment="1"/>
    <xf numFmtId="0" fontId="10" fillId="0" borderId="14" xfId="0" applyFont="1" applyFill="1" applyBorder="1" applyAlignment="1">
      <alignment horizontal="center"/>
    </xf>
    <xf numFmtId="3" fontId="9" fillId="0" borderId="14" xfId="0" applyNumberFormat="1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0" fontId="39" fillId="0" borderId="0" xfId="0" applyFont="1" applyAlignment="1"/>
    <xf numFmtId="0" fontId="9" fillId="0" borderId="15" xfId="0" applyFont="1" applyBorder="1" applyAlignment="1"/>
    <xf numFmtId="0" fontId="9" fillId="30" borderId="0" xfId="0" applyFont="1" applyFill="1"/>
    <xf numFmtId="0" fontId="41" fillId="28" borderId="0" xfId="0" quotePrefix="1" applyFont="1" applyFill="1" applyAlignment="1">
      <alignment horizontal="center" vertical="center"/>
    </xf>
    <xf numFmtId="0" fontId="41" fillId="28" borderId="0" xfId="0" applyFont="1" applyFill="1" applyAlignment="1">
      <alignment horizontal="center" vertical="center"/>
    </xf>
    <xf numFmtId="0" fontId="41" fillId="26" borderId="0" xfId="0" quotePrefix="1" applyFont="1" applyFill="1" applyAlignment="1">
      <alignment horizontal="center" vertical="center"/>
    </xf>
    <xf numFmtId="0" fontId="41" fillId="26" borderId="0" xfId="0" applyFont="1" applyFill="1" applyAlignment="1">
      <alignment horizontal="center" vertical="center"/>
    </xf>
    <xf numFmtId="0" fontId="10" fillId="0" borderId="12" xfId="0" applyFont="1" applyFill="1" applyBorder="1" applyAlignment="1">
      <alignment horizontal="center"/>
    </xf>
    <xf numFmtId="0" fontId="41" fillId="27" borderId="0" xfId="0" quotePrefix="1" applyFont="1" applyFill="1" applyAlignment="1">
      <alignment horizontal="center" vertical="center"/>
    </xf>
    <xf numFmtId="0" fontId="41" fillId="27" borderId="0" xfId="0" applyFont="1" applyFill="1" applyAlignment="1">
      <alignment horizontal="center" vertical="center"/>
    </xf>
    <xf numFmtId="165" fontId="9" fillId="0" borderId="12" xfId="0" applyNumberFormat="1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/>
    </xf>
    <xf numFmtId="2" fontId="9" fillId="0" borderId="10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</cellXfs>
  <cellStyles count="71">
    <cellStyle name="20 % - Accent1 2" xfId="1"/>
    <cellStyle name="20 % - Accent2 2" xfId="2"/>
    <cellStyle name="20 % - Accent3 2" xfId="3"/>
    <cellStyle name="20 % - Accent4 2" xfId="4"/>
    <cellStyle name="20 % - Accent5 2" xfId="5"/>
    <cellStyle name="20 % - Accent6 2" xfId="6"/>
    <cellStyle name="40 % - Accent1 2" xfId="7"/>
    <cellStyle name="40 % - Accent2 2" xfId="8"/>
    <cellStyle name="40 % - Accent3 2" xfId="9"/>
    <cellStyle name="40 % - Accent4 2" xfId="10"/>
    <cellStyle name="40 % - Accent5 2" xfId="11"/>
    <cellStyle name="40 % - Accent6 2" xfId="12"/>
    <cellStyle name="60 % - Accent1 2" xfId="13"/>
    <cellStyle name="60 % - Accent2 2" xfId="14"/>
    <cellStyle name="60 % - Accent3 2" xfId="15"/>
    <cellStyle name="60 % - Accent4 2" xfId="16"/>
    <cellStyle name="60 % - Accent5 2" xfId="17"/>
    <cellStyle name="60 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Avertissement 2" xfId="25"/>
    <cellStyle name="Calcul 2" xfId="26"/>
    <cellStyle name="Cellule liée 2" xfId="27"/>
    <cellStyle name="Commentaire 2" xfId="28"/>
    <cellStyle name="Entrée 2" xfId="29"/>
    <cellStyle name="Insatisfaisant 2" xfId="30"/>
    <cellStyle name="Milliers 2" xfId="50"/>
    <cellStyle name="Milliers 3" xfId="69"/>
    <cellStyle name="Monétaire 2" xfId="43"/>
    <cellStyle name="Neutre 2" xfId="31"/>
    <cellStyle name="Normal" xfId="0" builtinId="0"/>
    <cellStyle name="Normal 10" xfId="55"/>
    <cellStyle name="Normal 11" xfId="56"/>
    <cellStyle name="Normal 11 2" xfId="57"/>
    <cellStyle name="Normal 12" xfId="58"/>
    <cellStyle name="Normal 13" xfId="60"/>
    <cellStyle name="Normal 14" xfId="61"/>
    <cellStyle name="Normal 14 2" xfId="64"/>
    <cellStyle name="Normal 15" xfId="62"/>
    <cellStyle name="Normal 16" xfId="63"/>
    <cellStyle name="Normal 17" xfId="65"/>
    <cellStyle name="Normal 18" xfId="68"/>
    <cellStyle name="Normal 2" xfId="32"/>
    <cellStyle name="Normal 2 2" xfId="48"/>
    <cellStyle name="Normal 2 3" xfId="67"/>
    <cellStyle name="Normal 3" xfId="44"/>
    <cellStyle name="Normal 3 2" xfId="66"/>
    <cellStyle name="Normal 4" xfId="45"/>
    <cellStyle name="Normal 5" xfId="46"/>
    <cellStyle name="Normal 6" xfId="49"/>
    <cellStyle name="Normal 7" xfId="51"/>
    <cellStyle name="Normal 8" xfId="52"/>
    <cellStyle name="Normal 9" xfId="53"/>
    <cellStyle name="Normal 9 2" xfId="54"/>
    <cellStyle name="Pourcentage 2" xfId="47"/>
    <cellStyle name="Pourcentage 3" xfId="59"/>
    <cellStyle name="Pourcentage 4" xfId="70"/>
    <cellStyle name="Satisfaisant 2" xfId="33"/>
    <cellStyle name="Sortie 2" xfId="34"/>
    <cellStyle name="Texte explicatif 2" xfId="35"/>
    <cellStyle name="Titre 2" xfId="36"/>
    <cellStyle name="Titre 1 2" xfId="37"/>
    <cellStyle name="Titre 2 2" xfId="38"/>
    <cellStyle name="Titre 3 2" xfId="39"/>
    <cellStyle name="Titre 4 2" xfId="40"/>
    <cellStyle name="Total 2" xfId="41"/>
    <cellStyle name="Vérification 2" xfId="4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effectifs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'Fiche clg'!$B$23</c:f>
              <c:strCache>
                <c:ptCount val="1"/>
                <c:pt idx="0">
                  <c:v>collège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'Fiche clg'!$E$22:$I$22</c:f>
              <c:numCache>
                <c:formatCode>General</c:formatCode>
                <c:ptCount val="5"/>
                <c:pt idx="0">
                  <c:v>2012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 formatCode="m/d/yyyy">
                  <c:v>45950</c:v>
                </c:pt>
              </c:numCache>
            </c:numRef>
          </c:cat>
          <c:val>
            <c:numRef>
              <c:f>'Fiche clg'!$E$23:$I$23</c:f>
              <c:numCache>
                <c:formatCode>#,##0</c:formatCode>
                <c:ptCount val="5"/>
                <c:pt idx="0">
                  <c:v>648</c:v>
                </c:pt>
                <c:pt idx="1">
                  <c:v>446</c:v>
                </c:pt>
                <c:pt idx="2">
                  <c:v>451</c:v>
                </c:pt>
                <c:pt idx="3">
                  <c:v>467</c:v>
                </c:pt>
                <c:pt idx="4">
                  <c:v>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4-4545-BE8F-6AF3B16B9E08}"/>
            </c:ext>
          </c:extLst>
        </c:ser>
        <c:ser>
          <c:idx val="1"/>
          <c:order val="1"/>
          <c:tx>
            <c:strRef>
              <c:f>'Fiche clg'!$B$24</c:f>
              <c:strCache>
                <c:ptCount val="1"/>
                <c:pt idx="0">
                  <c:v>enseignement adapté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'Fiche clg'!$E$22:$I$22</c:f>
              <c:numCache>
                <c:formatCode>General</c:formatCode>
                <c:ptCount val="5"/>
                <c:pt idx="0">
                  <c:v>2012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 formatCode="m/d/yyyy">
                  <c:v>45950</c:v>
                </c:pt>
              </c:numCache>
            </c:numRef>
          </c:cat>
          <c:val>
            <c:numRef>
              <c:f>'Fiche clg'!$E$24:$I$24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DF-4F3F-BE71-C4A83C230223}"/>
            </c:ext>
          </c:extLst>
        </c:ser>
        <c:ser>
          <c:idx val="2"/>
          <c:order val="2"/>
          <c:tx>
            <c:strRef>
              <c:f>'Fiche clg'!$B$25</c:f>
              <c:strCache>
                <c:ptCount val="1"/>
                <c:pt idx="0">
                  <c:v>lycée PRO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'Fiche clg'!$E$22:$I$22</c:f>
              <c:numCache>
                <c:formatCode>General</c:formatCode>
                <c:ptCount val="5"/>
                <c:pt idx="0">
                  <c:v>2012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 formatCode="m/d/yyyy">
                  <c:v>45950</c:v>
                </c:pt>
              </c:numCache>
            </c:numRef>
          </c:cat>
          <c:val>
            <c:numRef>
              <c:f>'Fiche clg'!$E$25:$I$25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DF-4F3F-BE71-C4A83C230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5087360"/>
        <c:axId val="140105344"/>
      </c:barChart>
      <c:catAx>
        <c:axId val="15508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105344"/>
        <c:crosses val="autoZero"/>
        <c:auto val="1"/>
        <c:lblAlgn val="ctr"/>
        <c:lblOffset val="100"/>
        <c:noMultiLvlLbl val="0"/>
      </c:catAx>
      <c:valAx>
        <c:axId val="14010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508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971-449C-8E14-58B6E02C7549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971-449C-8E14-58B6E02C7549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971-449C-8E14-58B6E02C7549}"/>
              </c:ext>
            </c:extLst>
          </c:dPt>
          <c:xVal>
            <c:numRef>
              <c:f>'Fiche clg'!$J$71:$L$71</c:f>
            </c:numRef>
          </c:xVal>
          <c:yVal>
            <c:numRef>
              <c:f>'Fiche clg'!$J$72:$L$72</c:f>
            </c:numRef>
          </c:yVal>
          <c:smooth val="0"/>
          <c:extLst>
            <c:ext xmlns:c16="http://schemas.microsoft.com/office/drawing/2014/chart" uri="{C3380CC4-5D6E-409C-BE32-E72D297353CC}">
              <c16:uniqueId val="{00000003-2971-449C-8E14-58B6E02C7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107072"/>
        <c:axId val="140274496"/>
      </c:scatterChart>
      <c:valAx>
        <c:axId val="140107072"/>
        <c:scaling>
          <c:orientation val="minMax"/>
          <c:max val="0"/>
          <c:min val="-6.64"/>
        </c:scaling>
        <c:delete val="1"/>
        <c:axPos val="b"/>
        <c:numFmt formatCode="0" sourceLinked="0"/>
        <c:majorTickMark val="out"/>
        <c:minorTickMark val="none"/>
        <c:tickLblPos val="nextTo"/>
        <c:crossAx val="140274496"/>
        <c:crosses val="autoZero"/>
        <c:crossBetween val="midCat"/>
        <c:majorUnit val="0.2"/>
        <c:minorUnit val="0.1"/>
      </c:valAx>
      <c:valAx>
        <c:axId val="1402744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40107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12F-4D3C-88BB-2B173903DF1E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12F-4D3C-88BB-2B173903DF1E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12F-4D3C-88BB-2B173903DF1E}"/>
              </c:ext>
            </c:extLst>
          </c:dPt>
          <c:xVal>
            <c:numRef>
              <c:f>'Fiche clg'!$J$71:$L$71</c:f>
            </c:numRef>
          </c:xVal>
          <c:yVal>
            <c:numRef>
              <c:f>'Fiche clg'!$J$72:$L$72</c:f>
            </c:numRef>
          </c:yVal>
          <c:smooth val="0"/>
          <c:extLst>
            <c:ext xmlns:c16="http://schemas.microsoft.com/office/drawing/2014/chart" uri="{C3380CC4-5D6E-409C-BE32-E72D297353CC}">
              <c16:uniqueId val="{00000003-212F-4D3C-88BB-2B173903D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278528"/>
        <c:axId val="140845056"/>
      </c:scatterChart>
      <c:valAx>
        <c:axId val="140278528"/>
        <c:scaling>
          <c:orientation val="minMax"/>
          <c:max val="6.5"/>
          <c:min val="0"/>
        </c:scaling>
        <c:delete val="1"/>
        <c:axPos val="b"/>
        <c:numFmt formatCode="0" sourceLinked="0"/>
        <c:majorTickMark val="out"/>
        <c:minorTickMark val="none"/>
        <c:tickLblPos val="nextTo"/>
        <c:crossAx val="140845056"/>
        <c:crosses val="autoZero"/>
        <c:crossBetween val="midCat"/>
        <c:majorUnit val="0.2"/>
        <c:minorUnit val="0.1"/>
      </c:valAx>
      <c:valAx>
        <c:axId val="1408450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40278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742-43BC-905D-7885F36DB2A5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742-43BC-905D-7885F36DB2A5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742-43BC-905D-7885F36DB2A5}"/>
              </c:ext>
            </c:extLst>
          </c:dPt>
          <c:xVal>
            <c:numRef>
              <c:f>'Fiche clg'!$J$57:$L$57</c:f>
            </c:numRef>
          </c:xVal>
          <c:yVal>
            <c:numRef>
              <c:f>'Fiche clg'!$J$58:$L$58</c:f>
            </c:numRef>
          </c:yVal>
          <c:smooth val="0"/>
          <c:extLst>
            <c:ext xmlns:c16="http://schemas.microsoft.com/office/drawing/2014/chart" uri="{C3380CC4-5D6E-409C-BE32-E72D297353CC}">
              <c16:uniqueId val="{00000003-2742-43BC-905D-7885F36DB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846784"/>
        <c:axId val="140847360"/>
      </c:scatterChart>
      <c:valAx>
        <c:axId val="140846784"/>
        <c:scaling>
          <c:orientation val="minMax"/>
          <c:max val="6.5"/>
          <c:min val="0"/>
        </c:scaling>
        <c:delete val="1"/>
        <c:axPos val="b"/>
        <c:numFmt formatCode="0" sourceLinked="0"/>
        <c:majorTickMark val="out"/>
        <c:minorTickMark val="none"/>
        <c:tickLblPos val="nextTo"/>
        <c:crossAx val="140847360"/>
        <c:crosses val="autoZero"/>
        <c:crossBetween val="midCat"/>
        <c:majorUnit val="0.2"/>
        <c:minorUnit val="0.1"/>
      </c:valAx>
      <c:valAx>
        <c:axId val="140847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40846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AAE-4C44-B65D-07EBF1B63BA2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AAE-4C44-B65D-07EBF1B63BA2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3AAE-4C44-B65D-07EBF1B63BA2}"/>
              </c:ext>
            </c:extLst>
          </c:dPt>
          <c:xVal>
            <c:numRef>
              <c:f>'Fiche clg'!$J$57:$L$57</c:f>
            </c:numRef>
          </c:xVal>
          <c:yVal>
            <c:numRef>
              <c:f>'Fiche clg'!$J$58:$L$58</c:f>
            </c:numRef>
          </c:yVal>
          <c:smooth val="0"/>
          <c:extLst>
            <c:ext xmlns:c16="http://schemas.microsoft.com/office/drawing/2014/chart" uri="{C3380CC4-5D6E-409C-BE32-E72D297353CC}">
              <c16:uniqueId val="{00000003-3AAE-4C44-B65D-07EBF1B63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849088"/>
        <c:axId val="140850240"/>
      </c:scatterChart>
      <c:valAx>
        <c:axId val="140849088"/>
        <c:scaling>
          <c:orientation val="minMax"/>
          <c:max val="0"/>
          <c:min val="-6.64"/>
        </c:scaling>
        <c:delete val="1"/>
        <c:axPos val="b"/>
        <c:numFmt formatCode="0" sourceLinked="0"/>
        <c:majorTickMark val="out"/>
        <c:minorTickMark val="none"/>
        <c:tickLblPos val="nextTo"/>
        <c:crossAx val="140850240"/>
        <c:crosses val="autoZero"/>
        <c:crossBetween val="midCat"/>
        <c:majorUnit val="0.2"/>
        <c:minorUnit val="0.1"/>
      </c:valAx>
      <c:valAx>
        <c:axId val="1408502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4084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628-4A1D-9AC5-1E08AD247095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628-4A1D-9AC5-1E08AD247095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628-4A1D-9AC5-1E08AD247095}"/>
              </c:ext>
            </c:extLst>
          </c:dPt>
          <c:xVal>
            <c:numRef>
              <c:f>'Fiche clg'!$J$102:$L$102</c:f>
            </c:numRef>
          </c:xVal>
          <c:yVal>
            <c:numRef>
              <c:f>'Fiche clg'!$J$103:$L$103</c:f>
            </c:numRef>
          </c:yVal>
          <c:smooth val="0"/>
          <c:extLst>
            <c:ext xmlns:c16="http://schemas.microsoft.com/office/drawing/2014/chart" uri="{C3380CC4-5D6E-409C-BE32-E72D297353CC}">
              <c16:uniqueId val="{00000003-2628-4A1D-9AC5-1E08AD247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852544"/>
        <c:axId val="141303808"/>
      </c:scatterChart>
      <c:valAx>
        <c:axId val="140852544"/>
        <c:scaling>
          <c:orientation val="minMax"/>
          <c:max val="0"/>
          <c:min val="-6.64"/>
        </c:scaling>
        <c:delete val="1"/>
        <c:axPos val="b"/>
        <c:numFmt formatCode="0" sourceLinked="0"/>
        <c:majorTickMark val="out"/>
        <c:minorTickMark val="none"/>
        <c:tickLblPos val="nextTo"/>
        <c:crossAx val="141303808"/>
        <c:crosses val="autoZero"/>
        <c:crossBetween val="midCat"/>
        <c:majorUnit val="0.2"/>
        <c:minorUnit val="0.1"/>
      </c:valAx>
      <c:valAx>
        <c:axId val="1413038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4085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284057971014494E-2"/>
          <c:y val="0.24444444444444444"/>
          <c:w val="0.94262604131005368"/>
          <c:h val="0.2400384951881015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CFB-497B-8E28-556EA0BCFB2B}"/>
              </c:ext>
            </c:extLst>
          </c:dPt>
          <c:dPt>
            <c:idx val="1"/>
            <c:marker>
              <c:symbol val="triangle"/>
              <c:size val="16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CFB-497B-8E28-556EA0BCFB2B}"/>
              </c:ext>
            </c:extLst>
          </c:dPt>
          <c:dPt>
            <c:idx val="2"/>
            <c:marker>
              <c:symbol val="plus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CFB-497B-8E28-556EA0BCFB2B}"/>
              </c:ext>
            </c:extLst>
          </c:dPt>
          <c:xVal>
            <c:numRef>
              <c:f>'Fiche clg'!$J$102:$L$102</c:f>
            </c:numRef>
          </c:xVal>
          <c:yVal>
            <c:numRef>
              <c:f>'Fiche clg'!$J$103:$L$103</c:f>
            </c:numRef>
          </c:yVal>
          <c:smooth val="0"/>
          <c:extLst>
            <c:ext xmlns:c16="http://schemas.microsoft.com/office/drawing/2014/chart" uri="{C3380CC4-5D6E-409C-BE32-E72D297353CC}">
              <c16:uniqueId val="{00000003-0CFB-497B-8E28-556EA0BCF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305536"/>
        <c:axId val="141306112"/>
      </c:scatterChart>
      <c:valAx>
        <c:axId val="141305536"/>
        <c:scaling>
          <c:orientation val="minMax"/>
          <c:max val="6.5"/>
          <c:min val="0"/>
        </c:scaling>
        <c:delete val="1"/>
        <c:axPos val="b"/>
        <c:numFmt formatCode="0" sourceLinked="0"/>
        <c:majorTickMark val="out"/>
        <c:minorTickMark val="none"/>
        <c:tickLblPos val="nextTo"/>
        <c:crossAx val="141306112"/>
        <c:crosses val="autoZero"/>
        <c:crossBetween val="midCat"/>
        <c:majorUnit val="0.2"/>
        <c:minorUnit val="0.1"/>
      </c:valAx>
      <c:valAx>
        <c:axId val="1413061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41305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661599328399467"/>
          <c:y val="0.21329332605563828"/>
          <c:w val="0.44325165075255507"/>
          <c:h val="0.58599042367049603"/>
        </c:manualLayout>
      </c:layout>
      <c:radarChart>
        <c:radarStyle val="marker"/>
        <c:varyColors val="0"/>
        <c:ser>
          <c:idx val="0"/>
          <c:order val="0"/>
          <c:tx>
            <c:strRef>
              <c:f>'Fiche clg'!$B$1</c:f>
              <c:strCache>
                <c:ptCount val="1"/>
                <c:pt idx="0">
                  <c:v>9830004M : Collège Georges Baudoux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'Fiche clg'!$L$124:$U$124</c:f>
              <c:strCache>
                <c:ptCount val="10"/>
                <c:pt idx="0">
                  <c:v>Indice d'éloignement*</c:v>
                </c:pt>
                <c:pt idx="1">
                  <c:v>Indice de position sociale</c:v>
                </c:pt>
                <c:pt idx="2">
                  <c:v>% élèves en retard en 6è*</c:v>
                </c:pt>
                <c:pt idx="3">
                  <c:v>Bas niveau en français en 6è*</c:v>
                </c:pt>
                <c:pt idx="4">
                  <c:v>Bas niveau en mathématiques en 6è*</c:v>
                </c:pt>
                <c:pt idx="5">
                  <c:v>E/D*</c:v>
                </c:pt>
                <c:pt idx="6">
                  <c:v>% d'enseignants titulaires</c:v>
                </c:pt>
                <c:pt idx="7">
                  <c:v>Taux de réussite au DNB</c:v>
                </c:pt>
                <c:pt idx="8">
                  <c:v>Taux de passage 3è/2nde GT</c:v>
                </c:pt>
                <c:pt idx="9">
                  <c:v>Taux de redoublement 3è*</c:v>
                </c:pt>
              </c:strCache>
            </c:strRef>
          </c:cat>
          <c:val>
            <c:numRef>
              <c:f>'Fiche clg'!$L$126:$U$126</c:f>
              <c:numCache>
                <c:formatCode>0.0</c:formatCode>
                <c:ptCount val="10"/>
                <c:pt idx="0">
                  <c:v>5</c:v>
                </c:pt>
                <c:pt idx="1">
                  <c:v>2.2179489999999999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-3.9534880000000001</c:v>
                </c:pt>
                <c:pt idx="6">
                  <c:v>0</c:v>
                </c:pt>
                <c:pt idx="7">
                  <c:v>-0.34574500000000002</c:v>
                </c:pt>
                <c:pt idx="8">
                  <c:v>2.0801530000000001</c:v>
                </c:pt>
                <c:pt idx="9">
                  <c:v>-0.24390200000000001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8-43C5-A255-9BF6483A463B}"/>
            </c:ext>
          </c:extLst>
        </c:ser>
        <c:ser>
          <c:idx val="1"/>
          <c:order val="1"/>
          <c:tx>
            <c:strRef>
              <c:f>'Fiche clg'!$K$127</c:f>
              <c:strCache>
                <c:ptCount val="1"/>
                <c:pt idx="0">
                  <c:v>Public + privé</c:v>
                </c:pt>
              </c:strCache>
            </c:strRef>
          </c:tx>
          <c:spPr>
            <a:ln w="25400">
              <a:solidFill>
                <a:srgbClr val="3333CC"/>
              </a:solidFill>
              <a:prstDash val="lgDash"/>
            </a:ln>
          </c:spPr>
          <c:marker>
            <c:symbol val="none"/>
          </c:marker>
          <c:cat>
            <c:strRef>
              <c:f>'Fiche clg'!$L$124:$U$124</c:f>
              <c:strCache>
                <c:ptCount val="10"/>
                <c:pt idx="0">
                  <c:v>Indice d'éloignement*</c:v>
                </c:pt>
                <c:pt idx="1">
                  <c:v>Indice de position sociale</c:v>
                </c:pt>
                <c:pt idx="2">
                  <c:v>% élèves en retard en 6è*</c:v>
                </c:pt>
                <c:pt idx="3">
                  <c:v>Bas niveau en français en 6è*</c:v>
                </c:pt>
                <c:pt idx="4">
                  <c:v>Bas niveau en mathématiques en 6è*</c:v>
                </c:pt>
                <c:pt idx="5">
                  <c:v>E/D*</c:v>
                </c:pt>
                <c:pt idx="6">
                  <c:v>% d'enseignants titulaires</c:v>
                </c:pt>
                <c:pt idx="7">
                  <c:v>Taux de réussite au DNB</c:v>
                </c:pt>
                <c:pt idx="8">
                  <c:v>Taux de passage 3è/2nde GT</c:v>
                </c:pt>
                <c:pt idx="9">
                  <c:v>Taux de redoublement 3è*</c:v>
                </c:pt>
              </c:strCache>
            </c:strRef>
          </c:cat>
          <c:val>
            <c:numRef>
              <c:f>'Fiche clg'!$L$127:$U$127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38-43C5-A255-9BF6483A4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40640"/>
        <c:axId val="141307840"/>
      </c:radarChart>
      <c:catAx>
        <c:axId val="182640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1307840"/>
        <c:crosses val="autoZero"/>
        <c:auto val="0"/>
        <c:lblAlgn val="ctr"/>
        <c:lblOffset val="100"/>
        <c:noMultiLvlLbl val="0"/>
      </c:catAx>
      <c:valAx>
        <c:axId val="141307840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" sourceLinked="0"/>
        <c:majorTickMark val="cross"/>
        <c:min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2640640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ayout>
        <c:manualLayout>
          <c:xMode val="edge"/>
          <c:yMode val="edge"/>
          <c:x val="0.65923219800129906"/>
          <c:y val="0.84671622701838545"/>
          <c:w val="0.34076780199870094"/>
          <c:h val="0.10631894484412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25</xdr:row>
      <xdr:rowOff>161924</xdr:rowOff>
    </xdr:from>
    <xdr:to>
      <xdr:col>9</xdr:col>
      <xdr:colOff>0</xdr:colOff>
      <xdr:row>38</xdr:row>
      <xdr:rowOff>161924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5</xdr:col>
      <xdr:colOff>0</xdr:colOff>
      <xdr:row>73</xdr:row>
      <xdr:rowOff>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70</xdr:row>
      <xdr:rowOff>0</xdr:rowOff>
    </xdr:from>
    <xdr:to>
      <xdr:col>9</xdr:col>
      <xdr:colOff>0</xdr:colOff>
      <xdr:row>73</xdr:row>
      <xdr:rowOff>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56</xdr:row>
      <xdr:rowOff>0</xdr:rowOff>
    </xdr:from>
    <xdr:to>
      <xdr:col>9</xdr:col>
      <xdr:colOff>0</xdr:colOff>
      <xdr:row>59</xdr:row>
      <xdr:rowOff>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5</xdr:col>
      <xdr:colOff>0</xdr:colOff>
      <xdr:row>59</xdr:row>
      <xdr:rowOff>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101</xdr:row>
      <xdr:rowOff>0</xdr:rowOff>
    </xdr:from>
    <xdr:to>
      <xdr:col>5</xdr:col>
      <xdr:colOff>0</xdr:colOff>
      <xdr:row>104</xdr:row>
      <xdr:rowOff>0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101</xdr:row>
      <xdr:rowOff>0</xdr:rowOff>
    </xdr:from>
    <xdr:to>
      <xdr:col>9</xdr:col>
      <xdr:colOff>0</xdr:colOff>
      <xdr:row>104</xdr:row>
      <xdr:rowOff>0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absoluteAnchor>
    <xdr:pos x="342900" y="13912214"/>
    <xdr:ext cx="6800850" cy="4988759"/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absoluteAnchor>
  <xdr:twoCellAnchor editAs="oneCell">
    <xdr:from>
      <xdr:col>1</xdr:col>
      <xdr:colOff>57150</xdr:colOff>
      <xdr:row>2</xdr:row>
      <xdr:rowOff>0</xdr:rowOff>
    </xdr:from>
    <xdr:to>
      <xdr:col>3</xdr:col>
      <xdr:colOff>460764</xdr:colOff>
      <xdr:row>19</xdr:row>
      <xdr:rowOff>28574</xdr:rowOff>
    </xdr:to>
    <xdr:pic>
      <xdr:nvPicPr>
        <xdr:cNvPr id="15" name="Image 14" descr="http://intranet.in.ac-noumea.nc/vr/IMG/png/logovrnc-dge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61950"/>
          <a:ext cx="2003814" cy="895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0.19463</cdr:x>
      <cdr:y>0.21525</cdr:y>
    </cdr:from>
    <cdr:to>
      <cdr:x>0.19463</cdr:x>
      <cdr:y>0.86547</cdr:y>
    </cdr:to>
    <cdr:cxnSp macro="">
      <cdr:nvCxnSpPr>
        <cdr:cNvPr id="3" name="Connecteur droit 2">
          <a:extLst xmlns:a="http://schemas.openxmlformats.org/drawingml/2006/main">
            <a:ext uri="{FF2B5EF4-FFF2-40B4-BE49-F238E27FC236}">
              <a16:creationId xmlns:a16="http://schemas.microsoft.com/office/drawing/2014/main" id="{6B0FA1F9-9D67-4530-85FC-8B39FD4F5D93}"/>
            </a:ext>
          </a:extLst>
        </cdr:cNvPr>
        <cdr:cNvCxnSpPr/>
      </cdr:nvCxnSpPr>
      <cdr:spPr bwMode="auto">
        <a:xfrm xmlns:a="http://schemas.openxmlformats.org/drawingml/2006/main">
          <a:off x="1353301" y="453107"/>
          <a:ext cx="0" cy="136872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0.01378</cdr:x>
      <cdr:y>0.84749</cdr:y>
    </cdr:from>
    <cdr:to>
      <cdr:x>0.64986</cdr:x>
      <cdr:y>0.95291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683" y="4227923"/>
          <a:ext cx="4325918" cy="525915"/>
        </a:xfrm>
        <a:prstGeom xmlns:a="http://schemas.openxmlformats.org/drawingml/2006/main" prst="rect">
          <a:avLst/>
        </a:prstGeom>
        <a:ln xmlns:a="http://schemas.openxmlformats.org/drawingml/2006/main" w="9525"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Lecture : Plus le polygone de l'établissement tend vers l'extérieur, plus la situation de l'établissement est favorable pour le domaine concerné, </a:t>
          </a:r>
        </a:p>
        <a:p xmlns:a="http://schemas.openxmlformats.org/drawingml/2006/main"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Plus le polygone de l'établissement se trouve éloigné du trait bleu, plus l'écart avec la moyenne académique est significative.</a:t>
          </a:r>
        </a:p>
      </cdr:txBody>
    </cdr:sp>
  </cdr:relSizeAnchor>
  <cdr:relSizeAnchor xmlns:cdr="http://schemas.openxmlformats.org/drawingml/2006/chartDrawing">
    <cdr:from>
      <cdr:x>0.84533</cdr:x>
      <cdr:y>0.74375</cdr:y>
    </cdr:from>
    <cdr:to>
      <cdr:x>0.9946</cdr:x>
      <cdr:y>0.77535</cdr:y>
    </cdr:to>
    <cdr:sp macro="" textlink="">
      <cdr:nvSpPr>
        <cdr:cNvPr id="10" name="Rectangle 9"/>
        <cdr:cNvSpPr/>
      </cdr:nvSpPr>
      <cdr:spPr bwMode="auto">
        <a:xfrm xmlns:a="http://schemas.openxmlformats.org/drawingml/2006/main">
          <a:off x="5563753" y="3964755"/>
          <a:ext cx="982462" cy="1684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050"/>
            <a:t>* indicateurs inversés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B1:Y204"/>
  <sheetViews>
    <sheetView tabSelected="1" topLeftCell="A85" zoomScaleNormal="100" workbookViewId="0">
      <selection activeCell="K114" sqref="K114"/>
    </sheetView>
  </sheetViews>
  <sheetFormatPr baseColWidth="10" defaultColWidth="11.42578125" defaultRowHeight="12.75"/>
  <cols>
    <col min="1" max="1" width="4.7109375" style="1" customWidth="1"/>
    <col min="2" max="2" width="12.140625" style="1" customWidth="1"/>
    <col min="3" max="3" width="11.85546875" style="1" customWidth="1"/>
    <col min="4" max="4" width="14.140625" style="1" customWidth="1"/>
    <col min="5" max="5" width="13.42578125" style="1" customWidth="1"/>
    <col min="6" max="9" width="13.5703125" style="1" customWidth="1"/>
    <col min="10" max="11" width="11.42578125" style="1"/>
    <col min="12" max="12" width="12" style="1" customWidth="1"/>
    <col min="13" max="16384" width="11.42578125" style="1"/>
  </cols>
  <sheetData>
    <row r="1" spans="2:18" ht="15.75">
      <c r="B1" s="81" t="s">
        <v>135</v>
      </c>
      <c r="C1" s="81"/>
      <c r="D1" s="81"/>
      <c r="E1" s="81"/>
      <c r="F1" s="81"/>
      <c r="G1" s="81"/>
      <c r="H1" s="81"/>
      <c r="I1" s="81"/>
      <c r="K1" s="28" t="s">
        <v>240</v>
      </c>
      <c r="L1" s="27"/>
      <c r="M1" s="27"/>
      <c r="N1" s="27"/>
      <c r="O1" s="27"/>
      <c r="P1" s="27"/>
      <c r="Q1" s="27"/>
      <c r="R1" s="27"/>
    </row>
    <row r="3" spans="2:18" ht="14.25">
      <c r="B3" s="21" t="str">
        <f>VLOOKUP(B1,Base_clg!A2:B55,2,FALSE)</f>
        <v>9830004M</v>
      </c>
      <c r="C3" s="21"/>
      <c r="F3" s="1" t="s">
        <v>41</v>
      </c>
      <c r="G3" s="20" t="str">
        <f>VLOOKUP(B3,Base_clg!B2:D55,3,FALSE)</f>
        <v>Nouméa</v>
      </c>
      <c r="H3" s="16"/>
    </row>
    <row r="6" spans="2:18" ht="3" customHeight="1"/>
    <row r="7" spans="2:18" ht="31.5" hidden="1">
      <c r="B7" s="5" t="s">
        <v>25</v>
      </c>
      <c r="C7" s="5"/>
      <c r="D7" s="5"/>
      <c r="E7" s="5"/>
      <c r="F7" s="5"/>
      <c r="G7" s="5"/>
      <c r="H7" s="5"/>
    </row>
    <row r="8" spans="2:18" hidden="1"/>
    <row r="9" spans="2:18" hidden="1">
      <c r="B9" s="18" t="s">
        <v>15</v>
      </c>
      <c r="C9" s="18"/>
      <c r="D9" s="1" t="s">
        <v>17</v>
      </c>
    </row>
    <row r="10" spans="2:18" hidden="1">
      <c r="B10" s="18" t="s">
        <v>16</v>
      </c>
      <c r="C10" s="18"/>
      <c r="D10" s="1" t="s">
        <v>19</v>
      </c>
    </row>
    <row r="11" spans="2:18" hidden="1">
      <c r="B11" s="18" t="s">
        <v>16</v>
      </c>
      <c r="C11" s="18"/>
    </row>
    <row r="12" spans="2:18" hidden="1">
      <c r="B12" s="19" t="s">
        <v>12</v>
      </c>
      <c r="C12" s="19"/>
      <c r="D12" s="1" t="s">
        <v>18</v>
      </c>
    </row>
    <row r="13" spans="2:18" hidden="1">
      <c r="B13" s="19" t="s">
        <v>13</v>
      </c>
      <c r="C13" s="19"/>
      <c r="D13" s="1" t="s">
        <v>38</v>
      </c>
    </row>
    <row r="14" spans="2:18" hidden="1">
      <c r="B14" s="19"/>
      <c r="C14" s="19"/>
      <c r="D14" s="1" t="s">
        <v>39</v>
      </c>
    </row>
    <row r="15" spans="2:18" hidden="1">
      <c r="B15" s="19" t="s">
        <v>14</v>
      </c>
      <c r="C15" s="19"/>
      <c r="D15" s="1" t="s">
        <v>20</v>
      </c>
    </row>
    <row r="16" spans="2:18" hidden="1"/>
    <row r="17" spans="2:11" hidden="1"/>
    <row r="21" spans="2:11" ht="15.75">
      <c r="B21" s="10" t="s">
        <v>21</v>
      </c>
      <c r="C21" s="10"/>
      <c r="K21"/>
    </row>
    <row r="22" spans="2:11">
      <c r="E22" s="68">
        <v>2012</v>
      </c>
      <c r="F22" s="66">
        <v>2023</v>
      </c>
      <c r="G22" s="34">
        <v>2024</v>
      </c>
      <c r="H22" s="34">
        <v>2025</v>
      </c>
      <c r="I22" s="64">
        <v>45950</v>
      </c>
    </row>
    <row r="23" spans="2:11">
      <c r="B23" s="70" t="s">
        <v>318</v>
      </c>
      <c r="C23" s="65" t="s">
        <v>321</v>
      </c>
      <c r="D23" s="71"/>
      <c r="E23" s="69">
        <f>VLOOKUP($B$3,Base_clg!$B$2:$DA$55,5,FALSE)</f>
        <v>648</v>
      </c>
      <c r="F23" s="67">
        <f>VLOOKUP($B$3,Base_clg!$B$2:$DA$55,8,FALSE)</f>
        <v>446</v>
      </c>
      <c r="G23" s="22">
        <f>VLOOKUP($B$3,Base_clg!$B$2:$DA$55,11,FALSE)</f>
        <v>451</v>
      </c>
      <c r="H23" s="22">
        <f>VLOOKUP($B$3,Base_clg!$B$2:$DA$55,14,FALSE)</f>
        <v>467</v>
      </c>
      <c r="I23" s="22">
        <f>VLOOKUP($B$3,Base_clg!$B$2:$DA$55,17,FALSE)</f>
        <v>455</v>
      </c>
    </row>
    <row r="24" spans="2:11">
      <c r="B24" s="70" t="s">
        <v>319</v>
      </c>
      <c r="C24" s="65" t="s">
        <v>323</v>
      </c>
      <c r="D24" s="71"/>
      <c r="E24" s="69" t="str">
        <f>VLOOKUP($B$3,Base_clg!$B$2:$DA$55,6,FALSE)</f>
        <v>-</v>
      </c>
      <c r="F24" s="67" t="str">
        <f>VLOOKUP($B$3,Base_clg!$B$2:$DA$55,9,FALSE)</f>
        <v>-</v>
      </c>
      <c r="G24" s="22" t="str">
        <f>VLOOKUP($B$3,Base_clg!$B$2:$DA$55,12,FALSE)</f>
        <v>-</v>
      </c>
      <c r="H24" s="22" t="str">
        <f>VLOOKUP($B$3,Base_clg!$B$2:$DA$55,15,FALSE)</f>
        <v>-</v>
      </c>
      <c r="I24" s="22">
        <f>VLOOKUP($B$3,Base_clg!$B$2:$DA$55,18,FALSE)</f>
        <v>0</v>
      </c>
    </row>
    <row r="25" spans="2:11">
      <c r="B25" s="21" t="s">
        <v>320</v>
      </c>
      <c r="C25" s="65" t="s">
        <v>322</v>
      </c>
      <c r="D25" s="71"/>
      <c r="E25" s="69" t="str">
        <f>VLOOKUP($B$3,Base_clg!$B$2:$DA$55,7,FALSE)</f>
        <v>-</v>
      </c>
      <c r="F25" s="67" t="str">
        <f>VLOOKUP($B$3,Base_clg!$B$2:$DA$55,10,FALSE)</f>
        <v>-</v>
      </c>
      <c r="G25" s="22" t="str">
        <f>VLOOKUP($B$3,Base_clg!$B$2:$DA$55,13,FALSE)</f>
        <v>-</v>
      </c>
      <c r="H25" s="22" t="str">
        <f>VLOOKUP($B$3,Base_clg!$B$2:$DA$55,16,FALSE)</f>
        <v>-</v>
      </c>
      <c r="I25" s="22">
        <f>VLOOKUP($B$3,Base_clg!$B$2:$DA$55,19,FALSE)</f>
        <v>0</v>
      </c>
    </row>
    <row r="42" spans="2:9" ht="15.75">
      <c r="B42" s="6" t="s">
        <v>263</v>
      </c>
      <c r="C42" s="6"/>
      <c r="D42" s="4"/>
      <c r="E42" s="4"/>
      <c r="F42" s="4"/>
      <c r="G42" s="4"/>
      <c r="H42" s="4"/>
    </row>
    <row r="43" spans="2:9">
      <c r="G43" s="77" t="s">
        <v>316</v>
      </c>
      <c r="H43" s="77"/>
      <c r="I43" s="77"/>
    </row>
    <row r="44" spans="2:9">
      <c r="G44" s="2" t="s">
        <v>23</v>
      </c>
      <c r="H44" s="3" t="str">
        <f>VLOOKUP(B3,Base_clg!B2:C55,2,FALSE)</f>
        <v>Public</v>
      </c>
      <c r="I44" s="24" t="s">
        <v>239</v>
      </c>
    </row>
    <row r="45" spans="2:9">
      <c r="B45" s="1" t="s">
        <v>261</v>
      </c>
      <c r="G45" s="23">
        <f>VLOOKUP($B$3,Base_clg!$B$2:$DA$55,20,FALSE)</f>
        <v>97.3</v>
      </c>
      <c r="H45" s="23">
        <f>VLOOKUP($B$3,Base_clg!$B$2:$DA$55,21,FALSE)</f>
        <v>129.69999999999999</v>
      </c>
      <c r="I45" s="23">
        <f>VLOOKUP($B$3,Base_clg!$B$2:$DA$55,22,FALSE)</f>
        <v>137.9</v>
      </c>
    </row>
    <row r="46" spans="2:9">
      <c r="B46" s="1" t="s">
        <v>292</v>
      </c>
      <c r="G46" s="23">
        <f>VLOOKUP($B$3,Base_clg!$B$2:$DA$55,23,FALSE)</f>
        <v>26.1</v>
      </c>
      <c r="H46" s="23">
        <f>VLOOKUP($B$3,Base_clg!$B$2:$DA$55,24,FALSE)</f>
        <v>48.1</v>
      </c>
      <c r="I46" s="23">
        <f>VLOOKUP($B$3,Base_clg!$B$2:$DA$55,25,FALSE)</f>
        <v>48</v>
      </c>
    </row>
    <row r="47" spans="2:9">
      <c r="B47" s="1" t="s">
        <v>293</v>
      </c>
      <c r="G47" s="23">
        <f>VLOOKUP($B$3,Base_clg!$B$2:$DA$55,26,FALSE)</f>
        <v>25.9</v>
      </c>
      <c r="H47" s="23">
        <f>VLOOKUP($B$3,Base_clg!$B$2:$DA$55,27,FALSE)</f>
        <v>15.7</v>
      </c>
      <c r="I47" s="23">
        <f>VLOOKUP($B$3,Base_clg!$B$2:$DA$55,28,FALSE)</f>
        <v>15.4</v>
      </c>
    </row>
    <row r="48" spans="2:9">
      <c r="B48" s="1" t="s">
        <v>256</v>
      </c>
      <c r="G48" s="23">
        <f>VLOOKUP($B$3,Base_clg!$B$2:$DA$55,29,FALSE)</f>
        <v>111.8</v>
      </c>
      <c r="H48" s="23">
        <f>VLOOKUP($B$3,Base_clg!$B$2:$DA$55,30,FALSE)</f>
        <v>94.7</v>
      </c>
      <c r="I48" s="23">
        <f>VLOOKUP($B$3,Base_clg!$B$2:$DA$55,31,FALSE)</f>
        <v>94.5</v>
      </c>
    </row>
    <row r="49" spans="2:12">
      <c r="B49" s="1" t="s">
        <v>297</v>
      </c>
      <c r="G49" s="23" t="str">
        <f>VLOOKUP($B$3,Base_clg!$CX$2:$DA$55,2,FALSE)</f>
        <v>nd</v>
      </c>
      <c r="H49" s="23" t="str">
        <f>VLOOKUP($B$3,Base_clg!$CX$2:$DA$55,3,FALSE)</f>
        <v>nd</v>
      </c>
      <c r="I49" s="23" t="str">
        <f>VLOOKUP($B$3,Base_clg!$CX$2:$DA$55,4,FALSE)</f>
        <v>nd</v>
      </c>
    </row>
    <row r="50" spans="2:12">
      <c r="B50" s="1" t="s">
        <v>22</v>
      </c>
      <c r="G50" s="23">
        <f>VLOOKUP($B$3,Base_clg!$B$2:$DA$55,32,FALSE)</f>
        <v>3.6</v>
      </c>
      <c r="H50" s="23">
        <f>VLOOKUP($B$3,Base_clg!$B$2:$DA$55,33,FALSE)</f>
        <v>8</v>
      </c>
      <c r="I50" s="23">
        <f>VLOOKUP($B$3,Base_clg!$B$2:$DA$55,34,FALSE)</f>
        <v>8.8000000000000007</v>
      </c>
    </row>
    <row r="51" spans="2:12">
      <c r="B51" s="1" t="s">
        <v>299</v>
      </c>
      <c r="G51" s="23">
        <f>VLOOKUP($B$3,Base_clg!$B$2:$DA$55,35,FALSE)</f>
        <v>33.9</v>
      </c>
      <c r="H51" s="23">
        <f>VLOOKUP($B$3,Base_clg!$B$2:$DA$55,36,FALSE)</f>
        <v>46.7</v>
      </c>
      <c r="I51" s="23">
        <f>VLOOKUP($B$3,Base_clg!$B$2:$DA$55,37,FALSE)</f>
        <v>47.8</v>
      </c>
    </row>
    <row r="52" spans="2:12">
      <c r="B52" s="37" t="s">
        <v>300</v>
      </c>
      <c r="C52" s="37"/>
      <c r="G52" s="23">
        <f>VLOOKUP($B$3,Base_clg!$B$2:$DA$55,38,FALSE)</f>
        <v>47.3</v>
      </c>
      <c r="H52" s="23">
        <f>VLOOKUP($B$3,Base_clg!$B$2:$DA$55,39,FALSE)</f>
        <v>62.3</v>
      </c>
      <c r="I52" s="23">
        <f>VLOOKUP($B$3,Base_clg!$B$2:$DA$55,40,FALSE)</f>
        <v>63.4</v>
      </c>
    </row>
    <row r="53" spans="2:12">
      <c r="G53" s="25"/>
      <c r="H53" s="25"/>
      <c r="I53" s="25"/>
    </row>
    <row r="54" spans="2:12">
      <c r="B54" s="26"/>
      <c r="C54" s="26"/>
      <c r="G54" s="25"/>
      <c r="H54" s="25"/>
      <c r="I54" s="25"/>
    </row>
    <row r="55" spans="2:12" ht="16.5" hidden="1" customHeight="1">
      <c r="B55" s="13" t="s">
        <v>235</v>
      </c>
      <c r="C55" s="13"/>
      <c r="D55" s="14"/>
      <c r="E55" s="14"/>
      <c r="F55" s="14"/>
      <c r="G55" s="14"/>
      <c r="H55" s="14"/>
      <c r="I55" s="15" t="s">
        <v>6</v>
      </c>
    </row>
    <row r="56" spans="2:12" ht="19.5" hidden="1" customHeight="1">
      <c r="B56" s="11" t="s">
        <v>2</v>
      </c>
      <c r="C56" s="11"/>
      <c r="D56" s="75" t="s">
        <v>1</v>
      </c>
      <c r="E56" s="76"/>
      <c r="F56" s="78" t="s">
        <v>3</v>
      </c>
      <c r="G56" s="79"/>
      <c r="H56" s="73" t="s">
        <v>4</v>
      </c>
      <c r="I56" s="74"/>
    </row>
    <row r="57" spans="2:12" hidden="1">
      <c r="J57" s="12">
        <v>-6.5</v>
      </c>
      <c r="K57" s="29">
        <f>VLOOKUP(B3,Base_clg!B58:C110,2,FALSE)</f>
        <v>0</v>
      </c>
      <c r="L57" s="12">
        <v>6.5</v>
      </c>
    </row>
    <row r="58" spans="2:12" hidden="1">
      <c r="J58" s="12">
        <v>0</v>
      </c>
      <c r="K58" s="12">
        <v>0</v>
      </c>
      <c r="L58" s="12">
        <v>0</v>
      </c>
    </row>
    <row r="61" spans="2:12" ht="15.75">
      <c r="B61" s="6" t="s">
        <v>0</v>
      </c>
      <c r="C61" s="6"/>
    </row>
    <row r="62" spans="2:12">
      <c r="G62" s="77" t="s">
        <v>316</v>
      </c>
      <c r="H62" s="77"/>
      <c r="I62" s="77"/>
    </row>
    <row r="63" spans="2:12">
      <c r="G63" s="7" t="s">
        <v>23</v>
      </c>
      <c r="H63" s="2" t="str">
        <f>VLOOKUP(B3,Base_clg!B2:C55,2,FALSE)</f>
        <v>Public</v>
      </c>
      <c r="I63" s="24" t="s">
        <v>239</v>
      </c>
    </row>
    <row r="64" spans="2:12">
      <c r="B64" s="1" t="s">
        <v>26</v>
      </c>
      <c r="G64" s="82">
        <f>VLOOKUP($B$3,Base_clg!$B$2:$DA$55,41,FALSE)</f>
        <v>1.26</v>
      </c>
      <c r="H64" s="82">
        <f>VLOOKUP($B$3,Base_clg!$B$2:$DA$55,42,FALSE)</f>
        <v>1.42</v>
      </c>
      <c r="I64" s="82">
        <f>VLOOKUP($B$3,Base_clg!$B$2:$DA$55,43,FALSE)</f>
        <v>1.43</v>
      </c>
    </row>
    <row r="65" spans="2:12">
      <c r="B65" s="1" t="s">
        <v>101</v>
      </c>
      <c r="G65" s="83"/>
      <c r="H65" s="83"/>
      <c r="I65" s="83"/>
    </row>
    <row r="66" spans="2:12">
      <c r="B66" s="1" t="s">
        <v>102</v>
      </c>
      <c r="G66" s="80">
        <f>VLOOKUP($B$3,Base_clg!$B$2:$DA$55,44,FALSE)</f>
        <v>24.8</v>
      </c>
      <c r="H66" s="80">
        <f>VLOOKUP($B$3,Base_clg!$B$2:$DA$55,45,FALSE)</f>
        <v>21.5</v>
      </c>
      <c r="I66" s="80">
        <f>VLOOKUP($B$3,Base_clg!$B$2:$DA$55,46,FALSE)</f>
        <v>21.4</v>
      </c>
    </row>
    <row r="67" spans="2:12">
      <c r="B67" s="1" t="s">
        <v>103</v>
      </c>
      <c r="G67" s="80"/>
      <c r="H67" s="80"/>
      <c r="I67" s="80"/>
    </row>
    <row r="69" spans="2:12" ht="16.5" hidden="1" customHeight="1">
      <c r="B69" s="13" t="s">
        <v>236</v>
      </c>
      <c r="C69" s="13"/>
      <c r="D69" s="14"/>
      <c r="E69" s="14"/>
      <c r="F69" s="14"/>
      <c r="G69" s="14"/>
      <c r="H69" s="14"/>
      <c r="I69" s="15" t="s">
        <v>5</v>
      </c>
    </row>
    <row r="70" spans="2:12" ht="19.5" hidden="1" customHeight="1">
      <c r="B70" s="11" t="s">
        <v>2</v>
      </c>
      <c r="C70" s="11"/>
      <c r="D70" s="75" t="s">
        <v>1</v>
      </c>
      <c r="E70" s="76"/>
      <c r="F70" s="78" t="s">
        <v>3</v>
      </c>
      <c r="G70" s="79"/>
      <c r="H70" s="73" t="s">
        <v>4</v>
      </c>
      <c r="I70" s="74"/>
    </row>
    <row r="71" spans="2:12" hidden="1">
      <c r="J71" s="12">
        <v>-6.5</v>
      </c>
      <c r="K71" s="29" t="e">
        <f>VLOOKUP(B3,Base_clg!B58:C110,3,FALSE)</f>
        <v>#REF!</v>
      </c>
      <c r="L71" s="12">
        <v>6.5</v>
      </c>
    </row>
    <row r="72" spans="2:12" hidden="1">
      <c r="J72" s="12">
        <v>0</v>
      </c>
      <c r="K72" s="12">
        <v>0</v>
      </c>
      <c r="L72" s="12">
        <v>0</v>
      </c>
    </row>
    <row r="74" spans="2:12" ht="15.75">
      <c r="B74" s="6" t="s">
        <v>33</v>
      </c>
      <c r="C74" s="6"/>
    </row>
    <row r="75" spans="2:12">
      <c r="G75" s="77" t="s">
        <v>316</v>
      </c>
      <c r="H75" s="77"/>
      <c r="I75" s="77"/>
    </row>
    <row r="76" spans="2:12">
      <c r="G76" s="2" t="s">
        <v>23</v>
      </c>
      <c r="H76" s="2" t="str">
        <f>VLOOKUP(B3,Base_clg!B2:C55,2,FALSE)</f>
        <v>Public</v>
      </c>
      <c r="I76" s="24" t="s">
        <v>239</v>
      </c>
    </row>
    <row r="77" spans="2:12" hidden="1">
      <c r="B77" s="1" t="s">
        <v>34</v>
      </c>
      <c r="G77" s="8">
        <f>VLOOKUP(B3,Base_clg!B2:CW55,74,FALSE)</f>
        <v>-18.8</v>
      </c>
      <c r="H77" s="8">
        <f>VLOOKUP(B3,Base_clg!B2:CW55,75,FALSE)</f>
        <v>-5.8</v>
      </c>
      <c r="I77" s="8">
        <f>VLOOKUP(B3,Base_clg!B2:CW55,76,FALSE)</f>
        <v>-5.8999999999999897</v>
      </c>
    </row>
    <row r="78" spans="2:12">
      <c r="B78" s="1" t="s">
        <v>35</v>
      </c>
      <c r="G78" s="8">
        <f>VLOOKUP($B$3,Base_clg!$B$2:$DA$55,92,FALSE)</f>
        <v>87.6</v>
      </c>
      <c r="H78" s="8">
        <f>VLOOKUP($B$3,Base_clg!$B$2:$DA$55,93,FALSE)</f>
        <v>82.5</v>
      </c>
      <c r="I78" s="8">
        <f>VLOOKUP($B$3,Base_clg!$B$2:$DA$55,94,FALSE)</f>
        <v>75.5</v>
      </c>
    </row>
    <row r="79" spans="2:12">
      <c r="B79" s="1" t="s">
        <v>36</v>
      </c>
      <c r="G79" s="8">
        <f>VLOOKUP($B$3,Base_clg!$B$2:$DA$55,95,FALSE)</f>
        <v>5.6</v>
      </c>
      <c r="H79" s="8">
        <f>VLOOKUP($B$3,Base_clg!$B$2:$DA$55,96,FALSE)</f>
        <v>5.5</v>
      </c>
      <c r="I79" s="8">
        <f>VLOOKUP($B$3,Base_clg!$B$2:$DA$55,97,FALSE)</f>
        <v>5.7</v>
      </c>
    </row>
    <row r="80" spans="2:12">
      <c r="B80" s="1" t="s">
        <v>37</v>
      </c>
      <c r="G80" s="8">
        <f>VLOOKUP($B$3,Base_clg!$B$2:$DA$55,98,FALSE)</f>
        <v>45.2</v>
      </c>
      <c r="H80" s="8">
        <f>VLOOKUP($B$3,Base_clg!$B$2:$DA$55,99,FALSE)</f>
        <v>43.2</v>
      </c>
      <c r="I80" s="8">
        <f>VLOOKUP($B$3,Base_clg!$B$2:$DA$55,100,FALSE)</f>
        <v>43.5</v>
      </c>
    </row>
    <row r="88" spans="2:9" ht="15.75">
      <c r="B88" s="6" t="s">
        <v>7</v>
      </c>
      <c r="C88" s="6"/>
    </row>
    <row r="89" spans="2:9">
      <c r="G89" s="77" t="s">
        <v>317</v>
      </c>
      <c r="H89" s="77"/>
      <c r="I89" s="77"/>
    </row>
    <row r="90" spans="2:9">
      <c r="G90" s="2" t="s">
        <v>23</v>
      </c>
      <c r="H90" s="2" t="str">
        <f>VLOOKUP(B3,Base_clg!B2:C55,2,FALSE)</f>
        <v>Public</v>
      </c>
      <c r="I90" s="24" t="s">
        <v>239</v>
      </c>
    </row>
    <row r="91" spans="2:9">
      <c r="B91" s="1" t="s">
        <v>27</v>
      </c>
      <c r="G91" s="23">
        <f>VLOOKUP($B$3,Base_clg!$B$2:$DA$55,47,FALSE)</f>
        <v>61.4</v>
      </c>
      <c r="H91" s="23">
        <f>VLOOKUP($B$3,Base_clg!$B$2:$DA$55,48,FALSE)</f>
        <v>52.3</v>
      </c>
      <c r="I91" s="23">
        <f>VLOOKUP($B$3,Base_clg!$B$2:$DA$55,49,FALSE)</f>
        <v>50.5</v>
      </c>
    </row>
    <row r="92" spans="2:9">
      <c r="B92" s="1" t="s">
        <v>28</v>
      </c>
      <c r="G92" s="23">
        <f>VLOOKUP($B$3,Base_clg!$B$2:$DA$55,50,FALSE)</f>
        <v>20.8</v>
      </c>
      <c r="H92" s="23">
        <f>VLOOKUP($B$3,Base_clg!$B$2:$DA$55,51,FALSE)</f>
        <v>29.1</v>
      </c>
      <c r="I92" s="23">
        <f>VLOOKUP($B$3,Base_clg!$B$2:$DA$55,52,FALSE)</f>
        <v>29.5</v>
      </c>
    </row>
    <row r="93" spans="2:9">
      <c r="B93" s="1" t="s">
        <v>29</v>
      </c>
      <c r="G93" s="23">
        <f>VLOOKUP($B$3,Base_clg!$B$2:$DA$55,53,FALSE)</f>
        <v>5.9</v>
      </c>
      <c r="H93" s="23">
        <f>VLOOKUP($B$3,Base_clg!$B$2:$DA$55,54,FALSE)</f>
        <v>7.7</v>
      </c>
      <c r="I93" s="23">
        <f>VLOOKUP($B$3,Base_clg!$B$2:$DA$55,55,FALSE)</f>
        <v>9.5</v>
      </c>
    </row>
    <row r="94" spans="2:9" hidden="1">
      <c r="B94" s="27" t="s">
        <v>30</v>
      </c>
      <c r="C94" s="27"/>
      <c r="D94" s="27"/>
      <c r="E94" s="27"/>
      <c r="F94" s="27"/>
      <c r="G94" s="38">
        <f>VLOOKUP(B3,Base_clg!B2:CW55,53,FALSE)</f>
        <v>5.9</v>
      </c>
      <c r="H94" s="38">
        <f>VLOOKUP(B3,Base_clg!B2:CW55,54,FALSE)</f>
        <v>7.7</v>
      </c>
      <c r="I94" s="38">
        <f>VLOOKUP(B3,Base_clg!B2:CW55,55,FALSE)</f>
        <v>9.5</v>
      </c>
    </row>
    <row r="95" spans="2:9">
      <c r="B95" s="1" t="s">
        <v>31</v>
      </c>
      <c r="G95" s="23">
        <f>VLOOKUP($B$3,Base_clg!$B$2:$DA$55,59,FALSE)</f>
        <v>2</v>
      </c>
      <c r="H95" s="23">
        <f>VLOOKUP($B$3,Base_clg!$B$2:$DA$55,60,FALSE)</f>
        <v>1</v>
      </c>
      <c r="I95" s="23">
        <f>VLOOKUP($B$3,Base_clg!$B$2:$DA$55,61,FALSE)</f>
        <v>1.2</v>
      </c>
    </row>
    <row r="96" spans="2:9">
      <c r="B96" s="1" t="s">
        <v>289</v>
      </c>
      <c r="G96" s="23">
        <f>VLOOKUP($B$3,Base_clg!$B$2:$DA$55,62,FALSE)</f>
        <v>92.3</v>
      </c>
      <c r="H96" s="23">
        <f>VLOOKUP($B$3,Base_clg!$B$2:$DA$55,63,FALSE)</f>
        <v>83.4</v>
      </c>
      <c r="I96" s="23">
        <f>VLOOKUP($B$3,Base_clg!$B$2:$DA$55,64,FALSE)</f>
        <v>83.3</v>
      </c>
    </row>
    <row r="97" spans="2:12">
      <c r="B97" s="1" t="s">
        <v>290</v>
      </c>
      <c r="G97" s="23">
        <f>VLOOKUP($B$3,Base_clg!$B$2:$DA$55,65,FALSE)</f>
        <v>85.2</v>
      </c>
      <c r="H97" s="23">
        <f>VLOOKUP($B$3,Base_clg!$B$2:$DA$55,66,FALSE)</f>
        <v>82.7</v>
      </c>
      <c r="I97" s="23">
        <f>VLOOKUP($B$3,Base_clg!$B$2:$DA$55,67,FALSE)</f>
        <v>83.3</v>
      </c>
    </row>
    <row r="98" spans="2:12">
      <c r="B98" s="42" t="s">
        <v>291</v>
      </c>
      <c r="C98" s="42"/>
      <c r="G98" s="23">
        <f>VLOOKUP($B$3,Base_clg!$B$2:$DA$55,68,FALSE)</f>
        <v>73.3</v>
      </c>
      <c r="H98" s="23">
        <f>VLOOKUP($B$3,Base_clg!$B$2:$DA$55,69,FALSE)</f>
        <v>74.2</v>
      </c>
      <c r="I98" s="23">
        <f>VLOOKUP($B$3,Base_clg!$B$2:$DA$55,70,FALSE)</f>
        <v>75.400000000000006</v>
      </c>
    </row>
    <row r="100" spans="2:12" hidden="1">
      <c r="B100" s="13" t="s">
        <v>237</v>
      </c>
      <c r="C100" s="13"/>
      <c r="D100" s="14"/>
      <c r="E100" s="14"/>
      <c r="F100" s="14"/>
      <c r="G100" s="14"/>
      <c r="H100" s="14"/>
      <c r="I100" s="15" t="s">
        <v>234</v>
      </c>
    </row>
    <row r="101" spans="2:12" ht="18" hidden="1">
      <c r="B101" s="11" t="s">
        <v>2</v>
      </c>
      <c r="C101" s="11"/>
      <c r="D101" s="75" t="s">
        <v>1</v>
      </c>
      <c r="E101" s="76"/>
      <c r="F101" s="78" t="s">
        <v>3</v>
      </c>
      <c r="G101" s="79"/>
      <c r="H101" s="73" t="s">
        <v>4</v>
      </c>
      <c r="I101" s="74"/>
    </row>
    <row r="102" spans="2:12" hidden="1">
      <c r="J102" s="12">
        <v>-6.5</v>
      </c>
      <c r="K102" s="29" t="e">
        <f>VLOOKUP(B3,Base_clg!B$58:C$110,4,FALSE)</f>
        <v>#REF!</v>
      </c>
      <c r="L102" s="12">
        <v>6.5</v>
      </c>
    </row>
    <row r="103" spans="2:12" hidden="1">
      <c r="J103" s="12">
        <v>0</v>
      </c>
      <c r="K103" s="12">
        <v>0</v>
      </c>
      <c r="L103" s="12">
        <v>0</v>
      </c>
    </row>
    <row r="107" spans="2:12" ht="15.75">
      <c r="B107" s="6" t="s">
        <v>9</v>
      </c>
      <c r="C107" s="6"/>
    </row>
    <row r="108" spans="2:12">
      <c r="G108" s="77" t="s">
        <v>305</v>
      </c>
      <c r="H108" s="77"/>
      <c r="I108" s="77"/>
    </row>
    <row r="109" spans="2:12">
      <c r="G109" s="2" t="s">
        <v>23</v>
      </c>
      <c r="H109" s="2" t="str">
        <f>VLOOKUP(B3,Base_clg!B2:C55,2,FALSE)</f>
        <v>Public</v>
      </c>
      <c r="I109" s="2" t="s">
        <v>239</v>
      </c>
    </row>
    <row r="110" spans="2:12">
      <c r="B110" s="1" t="s">
        <v>32</v>
      </c>
      <c r="G110" s="23">
        <f>VLOOKUP($B$3,Base_clg!$B$2:$DA$55,71,FALSE)</f>
        <v>85</v>
      </c>
      <c r="H110" s="23">
        <f>VLOOKUP($B$3,Base_clg!$B$2:$DA$55,72,FALSE)</f>
        <v>87.1</v>
      </c>
      <c r="I110" s="23">
        <f>VLOOKUP($B$3,Base_clg!$B$2:$DA$55,73,FALSE)</f>
        <v>87.6</v>
      </c>
    </row>
    <row r="111" spans="2:12">
      <c r="B111" s="30" t="s">
        <v>243</v>
      </c>
      <c r="C111" s="30"/>
      <c r="D111" s="30"/>
      <c r="E111" s="30"/>
      <c r="G111" s="8">
        <f>VLOOKUP($B$3,Base_clg!$B$2:$DA$55,74,FALSE)</f>
        <v>-18.8</v>
      </c>
      <c r="H111" s="8">
        <f>VLOOKUP($B$3,Base_clg!$B$2:$DA$55,75,FALSE)</f>
        <v>-5.8</v>
      </c>
      <c r="I111" s="8">
        <f>VLOOKUP($B$3,Base_clg!$B$2:$DA$55,76,FALSE)</f>
        <v>-5.8999999999999897</v>
      </c>
    </row>
    <row r="112" spans="2:12">
      <c r="B112" s="1" t="s">
        <v>249</v>
      </c>
      <c r="G112" s="8">
        <f>VLOOKUP($B$3,Base_clg!$B$2:$DA$55,77,FALSE)</f>
        <v>10.3</v>
      </c>
      <c r="H112" s="8">
        <f>VLOOKUP($B$3,Base_clg!$B$2:$DA$55,78,FALSE)</f>
        <v>11.3</v>
      </c>
      <c r="I112" s="8">
        <f>VLOOKUP($B$3,Base_clg!$B$2:$DA$55,79,FALSE)</f>
        <v>11.2</v>
      </c>
    </row>
    <row r="113" spans="2:25">
      <c r="B113" s="1" t="s">
        <v>264</v>
      </c>
      <c r="G113" s="8" t="str">
        <f>VLOOKUP($B$3,Base_clg!$B$2:$DA$55,80,FALSE)</f>
        <v>nd</v>
      </c>
      <c r="H113" s="8" t="str">
        <f>VLOOKUP($B$3,Base_clg!$B$2:$DA$55,81,FALSE)</f>
        <v>nd</v>
      </c>
      <c r="I113" s="8" t="str">
        <f>VLOOKUP($B$3,Base_clg!$B$2:$DA$55,82,FALSE)</f>
        <v>nd</v>
      </c>
    </row>
    <row r="114" spans="2:25">
      <c r="B114" s="1" t="s">
        <v>248</v>
      </c>
      <c r="G114" s="8">
        <f>VLOOKUP($B$3,Base_clg!$B$2:$DA$55,83,FALSE)</f>
        <v>15.12</v>
      </c>
      <c r="H114" s="8">
        <f>VLOOKUP($B$3,Base_clg!$B$2:$DA$55,84,FALSE)</f>
        <v>14.525</v>
      </c>
      <c r="I114" s="8">
        <f>VLOOKUP($B$3,Base_clg!$B$2:$DA$55,85,FALSE)</f>
        <v>14.55</v>
      </c>
    </row>
    <row r="115" spans="2:25">
      <c r="G115" s="40"/>
      <c r="I115" s="40"/>
    </row>
    <row r="117" spans="2:25">
      <c r="R117" s="48"/>
      <c r="S117" s="48"/>
      <c r="T117" s="48"/>
    </row>
    <row r="119" spans="2:25" ht="15.75">
      <c r="B119" s="9" t="s">
        <v>8</v>
      </c>
      <c r="C119" s="9"/>
    </row>
    <row r="123" spans="2:25">
      <c r="K123" s="33" t="s">
        <v>238</v>
      </c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0"/>
      <c r="W123" s="30"/>
      <c r="X123" s="30"/>
    </row>
    <row r="124" spans="2:25" ht="51">
      <c r="K124" s="50" t="s">
        <v>8</v>
      </c>
      <c r="L124" s="51" t="s">
        <v>262</v>
      </c>
      <c r="M124" s="51" t="s">
        <v>260</v>
      </c>
      <c r="N124" s="51" t="s">
        <v>47</v>
      </c>
      <c r="O124" s="51" t="s">
        <v>303</v>
      </c>
      <c r="P124" s="51" t="s">
        <v>304</v>
      </c>
      <c r="Q124" s="51" t="s">
        <v>46</v>
      </c>
      <c r="R124" s="51" t="s">
        <v>44</v>
      </c>
      <c r="S124" s="51" t="s">
        <v>43</v>
      </c>
      <c r="T124" s="51" t="s">
        <v>42</v>
      </c>
      <c r="U124" s="51" t="s">
        <v>45</v>
      </c>
      <c r="V124" s="35"/>
      <c r="W124" s="35"/>
      <c r="X124" s="39"/>
    </row>
    <row r="125" spans="2:25">
      <c r="K125" s="33"/>
      <c r="L125" s="52"/>
      <c r="M125" s="52"/>
      <c r="N125" s="52"/>
      <c r="O125" s="52"/>
      <c r="P125" s="52"/>
      <c r="Q125" s="21"/>
      <c r="R125" s="52"/>
      <c r="S125" s="52"/>
      <c r="T125" s="52"/>
      <c r="U125" s="52"/>
      <c r="V125" s="35"/>
      <c r="W125" s="35"/>
      <c r="X125" s="17"/>
    </row>
    <row r="126" spans="2:25">
      <c r="K126" s="33" t="s">
        <v>23</v>
      </c>
      <c r="L126" s="52">
        <f>VLOOKUP(B3,Base_clg!B58:M111,3,FALSE)</f>
        <v>5</v>
      </c>
      <c r="M126" s="52">
        <f>VLOOKUP(B3,Base_clg!B58:M111,4,FALSE)</f>
        <v>2.2179489999999999</v>
      </c>
      <c r="N126" s="52">
        <f>VLOOKUP(B3,Base_clg!B58:M111,5,FALSE)</f>
        <v>4</v>
      </c>
      <c r="O126" s="52">
        <f>VLOOKUP(B3,Base_clg!B58:M111,6,FALSE)</f>
        <v>0</v>
      </c>
      <c r="P126" s="52">
        <f>VLOOKUP(B3,Base_clg!B58:M111,7,FALSE)</f>
        <v>0</v>
      </c>
      <c r="Q126" s="53">
        <f>VLOOKUP(B3,Base_clg!B58:M111,8,FALSE)</f>
        <v>-3.9534880000000001</v>
      </c>
      <c r="R126" s="52">
        <f>VLOOKUP(B3,Base_clg!B58:M111,9,FALSE)</f>
        <v>0</v>
      </c>
      <c r="S126" s="52">
        <f>VLOOKUP(B3,Base_clg!B58:M111,10,FALSE)</f>
        <v>-0.34574500000000002</v>
      </c>
      <c r="T126" s="52">
        <f>VLOOKUP(B3,Base_clg!B58:M111,11,FALSE)</f>
        <v>2.0801530000000001</v>
      </c>
      <c r="U126" s="52">
        <f>VLOOKUP(B3,Base_clg!B58:M111,12,FALSE)</f>
        <v>-0.24390200000000001</v>
      </c>
      <c r="V126" s="35"/>
      <c r="W126" s="35"/>
      <c r="X126" s="17"/>
    </row>
    <row r="127" spans="2:25">
      <c r="K127" s="33" t="s">
        <v>239</v>
      </c>
      <c r="L127" s="33">
        <v>0</v>
      </c>
      <c r="M127" s="33">
        <v>0</v>
      </c>
      <c r="N127" s="33">
        <v>0</v>
      </c>
      <c r="O127" s="33">
        <v>0</v>
      </c>
      <c r="P127" s="33">
        <v>0</v>
      </c>
      <c r="Q127" s="33">
        <v>0</v>
      </c>
      <c r="R127" s="33">
        <v>0</v>
      </c>
      <c r="S127" s="33">
        <v>0</v>
      </c>
      <c r="T127" s="33">
        <v>0</v>
      </c>
      <c r="U127" s="33">
        <v>0</v>
      </c>
      <c r="V127" s="35"/>
      <c r="W127" s="35"/>
      <c r="X127" s="17"/>
      <c r="Y127" s="21"/>
    </row>
    <row r="128" spans="2:25">
      <c r="Y128" s="21"/>
    </row>
    <row r="129" spans="10:25">
      <c r="Y129" s="21"/>
    </row>
    <row r="135" spans="10:25"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</row>
    <row r="136" spans="10:25"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</row>
    <row r="137" spans="10:25">
      <c r="J137" s="35"/>
      <c r="K137" s="35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5"/>
    </row>
    <row r="138" spans="10:25">
      <c r="J138" s="35"/>
      <c r="K138" s="35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5"/>
    </row>
    <row r="139" spans="10:25">
      <c r="J139" s="35"/>
      <c r="K139" s="35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5"/>
    </row>
    <row r="140" spans="10:25">
      <c r="J140" s="35"/>
      <c r="K140" s="35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5"/>
    </row>
    <row r="141" spans="10:25">
      <c r="J141" s="35"/>
      <c r="K141" s="35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5"/>
    </row>
    <row r="142" spans="10:25">
      <c r="J142" s="35"/>
      <c r="K142" s="35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5"/>
    </row>
    <row r="143" spans="10:25">
      <c r="J143" s="35"/>
      <c r="K143" s="35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5"/>
    </row>
    <row r="144" spans="10:25">
      <c r="J144" s="35"/>
      <c r="K144" s="35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5"/>
    </row>
    <row r="145" spans="12:22"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</row>
    <row r="146" spans="12:22"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</row>
    <row r="147" spans="12:22"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</row>
    <row r="148" spans="12:22"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</row>
    <row r="149" spans="12:22"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</row>
    <row r="150" spans="12:22"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</row>
    <row r="151" spans="12:22"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</row>
    <row r="152" spans="12:22"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</row>
    <row r="153" spans="12:22"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</row>
    <row r="154" spans="12:22"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</row>
    <row r="155" spans="12:22"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</row>
    <row r="156" spans="12:22"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</row>
    <row r="157" spans="12:22"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</row>
    <row r="158" spans="12:22"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</row>
    <row r="159" spans="12:22"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</row>
    <row r="160" spans="12:22"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</row>
    <row r="161" spans="12:22"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</row>
    <row r="162" spans="12:22"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</row>
    <row r="163" spans="12:22"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</row>
    <row r="164" spans="12:22"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</row>
    <row r="165" spans="12:22"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</row>
    <row r="166" spans="12:22"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</row>
    <row r="167" spans="12:22"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</row>
    <row r="168" spans="12:22"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</row>
    <row r="169" spans="12:22"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</row>
    <row r="170" spans="12:22"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</row>
    <row r="171" spans="12:22"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</row>
    <row r="172" spans="12:22"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</row>
    <row r="173" spans="12:22"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</row>
    <row r="174" spans="12:22"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</row>
    <row r="175" spans="12:22"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</row>
    <row r="176" spans="12:22"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</row>
    <row r="177" spans="12:22"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</row>
    <row r="178" spans="12:22"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</row>
    <row r="179" spans="12:22"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</row>
    <row r="180" spans="12:22"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</row>
    <row r="181" spans="12:22"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</row>
    <row r="182" spans="12:22"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</row>
    <row r="183" spans="12:22"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</row>
    <row r="184" spans="12:22"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</row>
    <row r="185" spans="12:22"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</row>
    <row r="186" spans="12:22">
      <c r="L186" s="17"/>
      <c r="M186" s="17"/>
      <c r="N186" s="12"/>
      <c r="O186" s="12"/>
      <c r="P186" s="12"/>
      <c r="Q186" s="12"/>
      <c r="R186" s="12"/>
      <c r="S186" s="12"/>
      <c r="T186" s="12"/>
      <c r="U186" s="12"/>
      <c r="V186" s="12"/>
    </row>
    <row r="187" spans="12:22"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</row>
    <row r="188" spans="12:22"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</row>
    <row r="189" spans="12:22"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</row>
    <row r="190" spans="12:22"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</row>
    <row r="191" spans="12:22"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</row>
    <row r="192" spans="12:22"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</row>
    <row r="193" spans="12:22"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</row>
    <row r="194" spans="12:22"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</row>
    <row r="195" spans="12:22"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</row>
    <row r="196" spans="12:22"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</row>
    <row r="197" spans="12:22"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</row>
    <row r="198" spans="12:22"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</row>
    <row r="199" spans="12:22"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</row>
    <row r="200" spans="12:22"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</row>
    <row r="201" spans="12:22"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</row>
    <row r="202" spans="12:22"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</row>
    <row r="203" spans="12:22"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</row>
    <row r="204" spans="12:22"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</row>
  </sheetData>
  <mergeCells count="21">
    <mergeCell ref="B1:I1"/>
    <mergeCell ref="G43:I43"/>
    <mergeCell ref="G62:I62"/>
    <mergeCell ref="G64:G65"/>
    <mergeCell ref="H64:H65"/>
    <mergeCell ref="I64:I65"/>
    <mergeCell ref="H56:I56"/>
    <mergeCell ref="F56:G56"/>
    <mergeCell ref="H101:I101"/>
    <mergeCell ref="D56:E56"/>
    <mergeCell ref="G89:I89"/>
    <mergeCell ref="G108:I108"/>
    <mergeCell ref="G75:I75"/>
    <mergeCell ref="D70:E70"/>
    <mergeCell ref="F70:G70"/>
    <mergeCell ref="H70:I70"/>
    <mergeCell ref="D101:E101"/>
    <mergeCell ref="F101:G101"/>
    <mergeCell ref="G66:G67"/>
    <mergeCell ref="H66:H67"/>
    <mergeCell ref="I66:I67"/>
  </mergeCells>
  <pageMargins left="0.23622047244094488" right="0.23622047244094488" top="0.3543307086614173" bottom="0.3543307086614173" header="0.31496062992125984" footer="0.31496062992125984"/>
  <pageSetup paperSize="9" scale="9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Base_clg!$A$2:$A$55</xm:f>
          </x14:formula1>
          <xm:sqref>B1:I1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D185"/>
  <sheetViews>
    <sheetView zoomScale="85" zoomScaleNormal="85" workbookViewId="0">
      <pane xSplit="3" ySplit="1" topLeftCell="CK2" activePane="bottomRight" state="frozen"/>
      <selection pane="topRight" activeCell="D1" sqref="D1"/>
      <selection pane="bottomLeft" activeCell="A2" sqref="A2"/>
      <selection pane="bottomRight" activeCell="CU2" sqref="CU2:CW55"/>
    </sheetView>
  </sheetViews>
  <sheetFormatPr baseColWidth="10" defaultColWidth="13.85546875" defaultRowHeight="12.75"/>
  <cols>
    <col min="1" max="1" width="50.28515625" style="30" bestFit="1" customWidth="1"/>
    <col min="2" max="2" width="20.28515625" style="30" bestFit="1" customWidth="1"/>
    <col min="3" max="3" width="15.7109375" style="30" bestFit="1" customWidth="1"/>
    <col min="4" max="4" width="12.28515625" style="30" bestFit="1" customWidth="1"/>
    <col min="5" max="5" width="15.85546875" style="30" bestFit="1" customWidth="1"/>
    <col min="6" max="6" width="15.140625" style="30" bestFit="1" customWidth="1"/>
    <col min="7" max="7" width="15.42578125" style="30" bestFit="1" customWidth="1"/>
    <col min="8" max="8" width="12" style="30" bestFit="1" customWidth="1"/>
    <col min="9" max="9" width="15.140625" style="30" bestFit="1" customWidth="1"/>
    <col min="10" max="10" width="14.28515625" style="30" bestFit="1" customWidth="1"/>
    <col min="11" max="11" width="14.140625" style="30" bestFit="1" customWidth="1"/>
    <col min="12" max="12" width="15.140625" style="30" bestFit="1" customWidth="1"/>
    <col min="13" max="13" width="15.28515625" style="30" bestFit="1" customWidth="1"/>
    <col min="14" max="14" width="15.7109375" style="30" bestFit="1" customWidth="1"/>
    <col min="15" max="15" width="12.28515625" style="30" bestFit="1" customWidth="1"/>
    <col min="16" max="16" width="11.5703125" style="30" bestFit="1" customWidth="1"/>
    <col min="17" max="17" width="9.28515625" style="30" bestFit="1" customWidth="1"/>
    <col min="18" max="18" width="18.42578125" style="30" bestFit="1" customWidth="1"/>
    <col min="19" max="19" width="17.85546875" style="30" bestFit="1" customWidth="1"/>
    <col min="20" max="20" width="15.28515625" style="30" bestFit="1" customWidth="1"/>
    <col min="21" max="21" width="7" style="30" bestFit="1" customWidth="1"/>
    <col min="22" max="22" width="6.28515625" style="30" bestFit="1" customWidth="1"/>
    <col min="23" max="23" width="6.42578125" style="30" bestFit="1" customWidth="1"/>
    <col min="24" max="24" width="12.140625" style="30" bestFit="1" customWidth="1"/>
    <col min="25" max="25" width="11.28515625" style="30" bestFit="1" customWidth="1"/>
    <col min="26" max="26" width="11.42578125" style="30" bestFit="1" customWidth="1"/>
    <col min="27" max="27" width="12.5703125" style="30" bestFit="1" customWidth="1"/>
    <col min="28" max="28" width="11.7109375" style="30" bestFit="1" customWidth="1"/>
    <col min="29" max="29" width="11.85546875" style="30" bestFit="1" customWidth="1"/>
    <col min="30" max="30" width="8" style="30" bestFit="1" customWidth="1"/>
    <col min="31" max="32" width="7.28515625" style="30" bestFit="1" customWidth="1"/>
    <col min="33" max="33" width="10.5703125" style="30" bestFit="1" customWidth="1"/>
    <col min="34" max="34" width="9.7109375" style="30" bestFit="1" customWidth="1"/>
    <col min="35" max="35" width="9.85546875" style="30" bestFit="1" customWidth="1"/>
    <col min="36" max="36" width="14.28515625" style="30" bestFit="1" customWidth="1"/>
    <col min="37" max="37" width="13.42578125" style="30" bestFit="1" customWidth="1"/>
    <col min="38" max="38" width="13.5703125" style="30" bestFit="1" customWidth="1"/>
    <col min="39" max="39" width="18.140625" style="30" bestFit="1" customWidth="1"/>
    <col min="40" max="40" width="17.28515625" style="30" bestFit="1" customWidth="1"/>
    <col min="41" max="41" width="17.42578125" style="30" bestFit="1" customWidth="1"/>
    <col min="42" max="42" width="8.28515625" style="30" bestFit="1" customWidth="1"/>
    <col min="43" max="43" width="7.42578125" style="30" bestFit="1" customWidth="1"/>
    <col min="44" max="44" width="7.5703125" style="30" bestFit="1" customWidth="1"/>
    <col min="45" max="45" width="8.28515625" style="30" bestFit="1" customWidth="1"/>
    <col min="46" max="46" width="7.42578125" style="30" bestFit="1" customWidth="1"/>
    <col min="47" max="47" width="7.5703125" style="30" bestFit="1" customWidth="1"/>
    <col min="48" max="48" width="14" style="31" bestFit="1" customWidth="1"/>
    <col min="49" max="49" width="13.28515625" style="31" bestFit="1" customWidth="1"/>
    <col min="50" max="50" width="13.28515625" style="30" bestFit="1" customWidth="1"/>
    <col min="51" max="51" width="15.28515625" style="31" bestFit="1" customWidth="1"/>
    <col min="52" max="52" width="14.28515625" style="31" bestFit="1" customWidth="1"/>
    <col min="53" max="53" width="14.42578125" style="30" bestFit="1" customWidth="1"/>
    <col min="54" max="54" width="15.5703125" style="30" bestFit="1" customWidth="1"/>
    <col min="55" max="55" width="14.7109375" style="30" bestFit="1" customWidth="1"/>
    <col min="56" max="56" width="14.85546875" style="30" bestFit="1" customWidth="1"/>
    <col min="57" max="57" width="12.28515625" style="32" bestFit="1" customWidth="1"/>
    <col min="58" max="58" width="11.5703125" style="30" bestFit="1" customWidth="1"/>
    <col min="59" max="59" width="11.7109375" style="30" bestFit="1" customWidth="1"/>
    <col min="60" max="60" width="10.42578125" style="30" bestFit="1" customWidth="1"/>
    <col min="61" max="62" width="9.7109375" style="30" bestFit="1" customWidth="1"/>
    <col min="63" max="63" width="14.28515625" style="30" bestFit="1" customWidth="1"/>
    <col min="64" max="64" width="13.5703125" style="30" bestFit="1" customWidth="1"/>
    <col min="65" max="65" width="13.7109375" style="30" bestFit="1" customWidth="1"/>
    <col min="66" max="66" width="15.7109375" style="30" bestFit="1" customWidth="1"/>
    <col min="67" max="67" width="15" style="30" bestFit="1" customWidth="1"/>
    <col min="68" max="68" width="15.140625" style="30" bestFit="1" customWidth="1"/>
    <col min="69" max="69" width="15.5703125" style="30" bestFit="1" customWidth="1"/>
    <col min="70" max="70" width="14.7109375" style="30" bestFit="1" customWidth="1"/>
    <col min="71" max="71" width="14.85546875" style="30" bestFit="1" customWidth="1"/>
    <col min="72" max="72" width="16.42578125" style="30" bestFit="1" customWidth="1"/>
    <col min="73" max="74" width="15.7109375" style="30" bestFit="1" customWidth="1"/>
    <col min="75" max="75" width="12.42578125" style="30" bestFit="1" customWidth="1"/>
    <col min="76" max="77" width="11.7109375" style="30" bestFit="1" customWidth="1"/>
    <col min="78" max="78" width="12.5703125" style="49" bestFit="1" customWidth="1"/>
    <col min="79" max="79" width="11.85546875" style="49" bestFit="1" customWidth="1"/>
    <col min="80" max="80" width="12" style="49" bestFit="1" customWidth="1"/>
    <col min="81" max="81" width="11.85546875" style="49" bestFit="1" customWidth="1"/>
    <col min="82" max="82" width="11.140625" style="49" bestFit="1" customWidth="1"/>
    <col min="83" max="83" width="11.28515625" style="49" bestFit="1" customWidth="1"/>
    <col min="84" max="84" width="13.28515625" style="30" bestFit="1" customWidth="1"/>
    <col min="85" max="85" width="12.5703125" style="30" bestFit="1" customWidth="1"/>
    <col min="86" max="86" width="12.7109375" style="30" bestFit="1" customWidth="1"/>
    <col min="87" max="87" width="16.42578125" style="30" bestFit="1" customWidth="1"/>
    <col min="88" max="89" width="15.7109375" style="30" bestFit="1" customWidth="1"/>
    <col min="90" max="90" width="12.5703125" style="30" bestFit="1" customWidth="1"/>
    <col min="91" max="91" width="11.7109375" style="30" bestFit="1" customWidth="1"/>
    <col min="92" max="92" width="11.85546875" style="30" bestFit="1" customWidth="1"/>
    <col min="93" max="93" width="11.140625" style="30" bestFit="1" customWidth="1"/>
    <col min="94" max="94" width="10.28515625" style="30" bestFit="1" customWidth="1"/>
    <col min="95" max="95" width="10.5703125" style="30" bestFit="1" customWidth="1"/>
    <col min="96" max="96" width="8.7109375" style="30" bestFit="1" customWidth="1"/>
    <col min="97" max="97" width="7.85546875" style="30" bestFit="1" customWidth="1"/>
    <col min="98" max="98" width="8" style="30" bestFit="1" customWidth="1"/>
    <col min="99" max="99" width="8.7109375" style="30" bestFit="1" customWidth="1"/>
    <col min="100" max="100" width="8" style="30" bestFit="1" customWidth="1"/>
    <col min="101" max="101" width="8.140625" style="30" bestFit="1" customWidth="1"/>
    <col min="102" max="102" width="9.85546875" style="30" bestFit="1" customWidth="1"/>
    <col min="103" max="103" width="12.42578125" style="30" bestFit="1" customWidth="1"/>
    <col min="104" max="105" width="11.7109375" style="30" bestFit="1" customWidth="1"/>
    <col min="106" max="16384" width="13.85546875" style="30"/>
  </cols>
  <sheetData>
    <row r="1" spans="1:108">
      <c r="A1" s="30" t="s">
        <v>134</v>
      </c>
      <c r="B1" s="30" t="s">
        <v>104</v>
      </c>
      <c r="C1" s="30" t="s">
        <v>105</v>
      </c>
      <c r="D1" s="30" t="s">
        <v>107</v>
      </c>
      <c r="E1" s="30" t="s">
        <v>106</v>
      </c>
      <c r="F1" s="30" t="s">
        <v>186</v>
      </c>
      <c r="G1" s="30" t="s">
        <v>187</v>
      </c>
      <c r="H1" s="30" t="s">
        <v>188</v>
      </c>
      <c r="I1" s="30" t="s">
        <v>315</v>
      </c>
      <c r="J1" s="30" t="s">
        <v>314</v>
      </c>
      <c r="K1" s="30" t="s">
        <v>313</v>
      </c>
      <c r="L1" s="30" t="s">
        <v>312</v>
      </c>
      <c r="M1" s="30" t="s">
        <v>311</v>
      </c>
      <c r="N1" s="30" t="s">
        <v>310</v>
      </c>
      <c r="O1" s="30" t="s">
        <v>309</v>
      </c>
      <c r="P1" s="30" t="s">
        <v>308</v>
      </c>
      <c r="Q1" s="30" t="s">
        <v>307</v>
      </c>
      <c r="R1" s="72" t="s">
        <v>426</v>
      </c>
      <c r="S1" s="72" t="s">
        <v>425</v>
      </c>
      <c r="T1" s="72" t="s">
        <v>427</v>
      </c>
      <c r="U1" s="30" t="s">
        <v>257</v>
      </c>
      <c r="V1" s="30" t="s">
        <v>258</v>
      </c>
      <c r="W1" s="30" t="s">
        <v>259</v>
      </c>
      <c r="X1" s="30" t="s">
        <v>189</v>
      </c>
      <c r="Y1" s="30" t="s">
        <v>190</v>
      </c>
      <c r="Z1" s="30" t="s">
        <v>191</v>
      </c>
      <c r="AA1" s="30" t="s">
        <v>192</v>
      </c>
      <c r="AB1" s="30" t="s">
        <v>193</v>
      </c>
      <c r="AC1" s="30" t="s">
        <v>194</v>
      </c>
      <c r="AD1" s="30" t="s">
        <v>195</v>
      </c>
      <c r="AE1" s="30" t="s">
        <v>196</v>
      </c>
      <c r="AF1" s="30" t="s">
        <v>197</v>
      </c>
      <c r="AG1" s="30" t="s">
        <v>198</v>
      </c>
      <c r="AH1" s="30" t="s">
        <v>199</v>
      </c>
      <c r="AI1" s="30" t="s">
        <v>200</v>
      </c>
      <c r="AJ1" s="30" t="s">
        <v>250</v>
      </c>
      <c r="AK1" s="30" t="s">
        <v>251</v>
      </c>
      <c r="AL1" s="30" t="s">
        <v>252</v>
      </c>
      <c r="AM1" s="30" t="s">
        <v>253</v>
      </c>
      <c r="AN1" s="30" t="s">
        <v>254</v>
      </c>
      <c r="AO1" s="30" t="s">
        <v>255</v>
      </c>
      <c r="AP1" s="30" t="s">
        <v>201</v>
      </c>
      <c r="AQ1" s="30" t="s">
        <v>202</v>
      </c>
      <c r="AR1" s="30" t="s">
        <v>203</v>
      </c>
      <c r="AS1" s="30" t="s">
        <v>204</v>
      </c>
      <c r="AT1" s="30" t="s">
        <v>205</v>
      </c>
      <c r="AU1" s="30" t="s">
        <v>206</v>
      </c>
      <c r="AV1" s="31" t="s">
        <v>207</v>
      </c>
      <c r="AW1" s="31" t="s">
        <v>208</v>
      </c>
      <c r="AX1" s="30" t="s">
        <v>209</v>
      </c>
      <c r="AY1" s="31" t="s">
        <v>210</v>
      </c>
      <c r="AZ1" s="31" t="s">
        <v>211</v>
      </c>
      <c r="BA1" s="30" t="s">
        <v>212</v>
      </c>
      <c r="BB1" s="30" t="s">
        <v>213</v>
      </c>
      <c r="BC1" s="30" t="s">
        <v>214</v>
      </c>
      <c r="BD1" s="30" t="s">
        <v>215</v>
      </c>
      <c r="BE1" s="32" t="s">
        <v>216</v>
      </c>
      <c r="BF1" s="30" t="s">
        <v>217</v>
      </c>
      <c r="BG1" s="30" t="s">
        <v>218</v>
      </c>
      <c r="BH1" s="30" t="s">
        <v>219</v>
      </c>
      <c r="BI1" s="30" t="s">
        <v>220</v>
      </c>
      <c r="BJ1" s="30" t="s">
        <v>221</v>
      </c>
      <c r="BK1" s="30" t="s">
        <v>280</v>
      </c>
      <c r="BL1" s="30" t="s">
        <v>281</v>
      </c>
      <c r="BM1" s="30" t="s">
        <v>282</v>
      </c>
      <c r="BN1" s="30" t="s">
        <v>283</v>
      </c>
      <c r="BO1" s="30" t="s">
        <v>284</v>
      </c>
      <c r="BP1" s="30" t="s">
        <v>285</v>
      </c>
      <c r="BQ1" s="30" t="s">
        <v>286</v>
      </c>
      <c r="BR1" s="30" t="s">
        <v>287</v>
      </c>
      <c r="BS1" s="30" t="s">
        <v>288</v>
      </c>
      <c r="BT1" s="30" t="s">
        <v>265</v>
      </c>
      <c r="BU1" s="30" t="s">
        <v>266</v>
      </c>
      <c r="BV1" s="30" t="s">
        <v>267</v>
      </c>
      <c r="BW1" s="30" t="s">
        <v>268</v>
      </c>
      <c r="BX1" s="30" t="s">
        <v>269</v>
      </c>
      <c r="BY1" s="30" t="s">
        <v>270</v>
      </c>
      <c r="BZ1" s="30" t="s">
        <v>271</v>
      </c>
      <c r="CA1" s="30" t="s">
        <v>272</v>
      </c>
      <c r="CB1" s="30" t="s">
        <v>273</v>
      </c>
      <c r="CC1" s="30" t="s">
        <v>274</v>
      </c>
      <c r="CD1" s="30" t="s">
        <v>275</v>
      </c>
      <c r="CE1" s="30" t="s">
        <v>276</v>
      </c>
      <c r="CF1" s="30" t="s">
        <v>277</v>
      </c>
      <c r="CG1" s="30" t="s">
        <v>278</v>
      </c>
      <c r="CH1" s="30" t="s">
        <v>279</v>
      </c>
      <c r="CI1" s="30" t="s">
        <v>245</v>
      </c>
      <c r="CJ1" s="30" t="s">
        <v>246</v>
      </c>
      <c r="CK1" s="30" t="s">
        <v>247</v>
      </c>
      <c r="CL1" s="30" t="s">
        <v>222</v>
      </c>
      <c r="CM1" s="30" t="s">
        <v>223</v>
      </c>
      <c r="CN1" s="30" t="s">
        <v>224</v>
      </c>
      <c r="CO1" s="30" t="s">
        <v>225</v>
      </c>
      <c r="CP1" s="30" t="s">
        <v>226</v>
      </c>
      <c r="CQ1" s="30" t="s">
        <v>227</v>
      </c>
      <c r="CR1" s="30" t="s">
        <v>228</v>
      </c>
      <c r="CS1" s="30" t="s">
        <v>229</v>
      </c>
      <c r="CT1" s="30" t="s">
        <v>230</v>
      </c>
      <c r="CU1" s="30" t="s">
        <v>231</v>
      </c>
      <c r="CV1" s="30" t="s">
        <v>232</v>
      </c>
      <c r="CW1" s="30" t="s">
        <v>233</v>
      </c>
      <c r="CY1" s="30" t="s">
        <v>294</v>
      </c>
      <c r="CZ1" s="30" t="s">
        <v>295</v>
      </c>
      <c r="DA1" s="30" t="s">
        <v>296</v>
      </c>
    </row>
    <row r="2" spans="1:108">
      <c r="A2" s="30" t="s">
        <v>135</v>
      </c>
      <c r="B2" s="30" t="s">
        <v>48</v>
      </c>
      <c r="C2" s="30" t="s">
        <v>24</v>
      </c>
      <c r="D2" s="30" t="s">
        <v>40</v>
      </c>
      <c r="E2" s="30" t="s">
        <v>108</v>
      </c>
      <c r="F2" s="31">
        <v>648</v>
      </c>
      <c r="G2" s="31" t="s">
        <v>10</v>
      </c>
      <c r="H2" s="31" t="s">
        <v>10</v>
      </c>
      <c r="I2" s="31">
        <v>446</v>
      </c>
      <c r="J2" s="55" t="s">
        <v>10</v>
      </c>
      <c r="K2" s="55" t="s">
        <v>10</v>
      </c>
      <c r="L2" s="31">
        <v>451</v>
      </c>
      <c r="M2" s="55" t="s">
        <v>10</v>
      </c>
      <c r="N2" s="55" t="s">
        <v>10</v>
      </c>
      <c r="O2" s="31">
        <v>467</v>
      </c>
      <c r="P2" s="55" t="s">
        <v>10</v>
      </c>
      <c r="Q2" s="55" t="s">
        <v>10</v>
      </c>
      <c r="R2" s="55">
        <f>VLOOKUP($B2,Extract_R_20_10_25!$B$2:$H$75,2,FALSE)</f>
        <v>455</v>
      </c>
      <c r="S2" s="31">
        <f>VLOOKUP($B2,Extract_R_20_10_25!$B$2:$H$75,3,FALSE)</f>
        <v>0</v>
      </c>
      <c r="T2" s="55">
        <f>VLOOKUP($B2,Extract_R_20_10_25!$B$2:$H$75,4,FALSE)</f>
        <v>0</v>
      </c>
      <c r="U2" s="41">
        <v>97.3</v>
      </c>
      <c r="V2" s="41">
        <v>129.69999999999999</v>
      </c>
      <c r="W2" s="41">
        <v>137.9</v>
      </c>
      <c r="X2" s="41">
        <v>26.1</v>
      </c>
      <c r="Y2" s="41">
        <v>48.1</v>
      </c>
      <c r="Z2" s="41">
        <v>48</v>
      </c>
      <c r="AA2" s="41">
        <v>25.9</v>
      </c>
      <c r="AB2" s="41">
        <v>15.7</v>
      </c>
      <c r="AC2" s="41">
        <v>15.4</v>
      </c>
      <c r="AD2" s="41">
        <v>111.8</v>
      </c>
      <c r="AE2" s="56">
        <v>94.7</v>
      </c>
      <c r="AF2" s="41">
        <v>94.5</v>
      </c>
      <c r="AG2" s="41">
        <v>3.6</v>
      </c>
      <c r="AH2" s="41">
        <v>8</v>
      </c>
      <c r="AI2" s="41">
        <v>8.8000000000000007</v>
      </c>
      <c r="AJ2" s="57">
        <v>33.9</v>
      </c>
      <c r="AK2" s="57">
        <v>46.7</v>
      </c>
      <c r="AL2" s="57">
        <v>47.8</v>
      </c>
      <c r="AM2" s="57">
        <v>47.3</v>
      </c>
      <c r="AN2" s="57">
        <v>62.3</v>
      </c>
      <c r="AO2" s="57">
        <v>63.4</v>
      </c>
      <c r="AP2" s="58">
        <v>1.26</v>
      </c>
      <c r="AQ2" s="58">
        <v>1.42</v>
      </c>
      <c r="AR2" s="58">
        <v>1.43</v>
      </c>
      <c r="AS2" s="41">
        <v>24.8</v>
      </c>
      <c r="AT2" s="41">
        <v>21.5</v>
      </c>
      <c r="AU2" s="41">
        <v>21.4</v>
      </c>
      <c r="AV2" s="41">
        <v>61.4</v>
      </c>
      <c r="AW2" s="56">
        <v>52.3</v>
      </c>
      <c r="AX2" s="59">
        <v>50.5</v>
      </c>
      <c r="AY2" s="41">
        <v>20.8</v>
      </c>
      <c r="AZ2" s="56">
        <v>29.1</v>
      </c>
      <c r="BA2" s="59">
        <v>29.5</v>
      </c>
      <c r="BB2" s="41">
        <v>5.9</v>
      </c>
      <c r="BC2" s="56">
        <v>7.7</v>
      </c>
      <c r="BD2" s="32">
        <v>9.5</v>
      </c>
      <c r="BH2" s="41">
        <v>2</v>
      </c>
      <c r="BI2" s="41">
        <v>1</v>
      </c>
      <c r="BJ2" s="32">
        <v>1.2</v>
      </c>
      <c r="BK2" s="32">
        <v>92.3</v>
      </c>
      <c r="BL2" s="32">
        <v>83.4</v>
      </c>
      <c r="BM2" s="32">
        <v>83.3</v>
      </c>
      <c r="BN2" s="32">
        <v>85.2</v>
      </c>
      <c r="BO2" s="32">
        <v>82.7</v>
      </c>
      <c r="BP2" s="32">
        <v>83.3</v>
      </c>
      <c r="BQ2" s="41">
        <v>73.3</v>
      </c>
      <c r="BR2" s="32">
        <v>74.2</v>
      </c>
      <c r="BS2" s="32">
        <v>75.400000000000006</v>
      </c>
      <c r="BT2" s="32">
        <v>85</v>
      </c>
      <c r="BU2" s="32">
        <v>87.1</v>
      </c>
      <c r="BV2" s="32">
        <v>87.6</v>
      </c>
      <c r="BW2" s="41">
        <v>-18.8</v>
      </c>
      <c r="BX2" s="41">
        <v>-5.8</v>
      </c>
      <c r="BY2" s="41">
        <v>-5.8999999999999897</v>
      </c>
      <c r="BZ2" s="41">
        <v>10.3</v>
      </c>
      <c r="CA2" s="41">
        <v>11.3</v>
      </c>
      <c r="CB2" s="41">
        <v>11.2</v>
      </c>
      <c r="CC2" s="57" t="s">
        <v>306</v>
      </c>
      <c r="CD2" s="57" t="s">
        <v>306</v>
      </c>
      <c r="CE2" s="57" t="s">
        <v>306</v>
      </c>
      <c r="CF2" s="32">
        <v>15.12</v>
      </c>
      <c r="CG2" s="32">
        <v>14.525</v>
      </c>
      <c r="CH2" s="32">
        <v>14.55</v>
      </c>
      <c r="CI2" s="32"/>
      <c r="CJ2" s="32"/>
      <c r="CK2" s="32"/>
      <c r="CL2" s="41" t="s">
        <v>306</v>
      </c>
      <c r="CM2" s="31" t="s">
        <v>306</v>
      </c>
      <c r="CN2" s="55" t="s">
        <v>306</v>
      </c>
      <c r="CO2" s="41">
        <v>87.6</v>
      </c>
      <c r="CP2" s="41">
        <v>82.5</v>
      </c>
      <c r="CQ2" s="41">
        <v>75.5</v>
      </c>
      <c r="CR2" s="41">
        <v>5.6</v>
      </c>
      <c r="CS2" s="41">
        <v>5.5</v>
      </c>
      <c r="CT2" s="41">
        <v>5.7</v>
      </c>
      <c r="CU2" s="56">
        <v>45.2</v>
      </c>
      <c r="CV2" s="56">
        <v>43.2</v>
      </c>
      <c r="CW2" s="56">
        <v>43.5</v>
      </c>
      <c r="CX2" s="32" t="str">
        <f t="shared" ref="CX2:CX32" si="0">B2</f>
        <v>9830004M</v>
      </c>
      <c r="CY2" s="41" t="s">
        <v>306</v>
      </c>
      <c r="CZ2" s="41" t="s">
        <v>306</v>
      </c>
      <c r="DA2" s="41" t="s">
        <v>306</v>
      </c>
      <c r="DD2" s="60"/>
    </row>
    <row r="3" spans="1:108">
      <c r="A3" s="30" t="s">
        <v>136</v>
      </c>
      <c r="B3" s="30" t="s">
        <v>49</v>
      </c>
      <c r="C3" s="30" t="s">
        <v>24</v>
      </c>
      <c r="D3" s="30" t="s">
        <v>298</v>
      </c>
      <c r="E3" s="30" t="s">
        <v>108</v>
      </c>
      <c r="F3" s="31">
        <v>427</v>
      </c>
      <c r="G3" s="31">
        <v>58</v>
      </c>
      <c r="H3" s="31">
        <v>43</v>
      </c>
      <c r="I3" s="31">
        <v>316</v>
      </c>
      <c r="J3" s="55">
        <v>53</v>
      </c>
      <c r="K3" s="31">
        <v>44</v>
      </c>
      <c r="L3" s="31">
        <v>322</v>
      </c>
      <c r="M3" s="55">
        <v>60</v>
      </c>
      <c r="N3" s="55">
        <v>45</v>
      </c>
      <c r="O3" s="31">
        <v>326</v>
      </c>
      <c r="P3" s="55">
        <v>58</v>
      </c>
      <c r="Q3" s="55">
        <v>52</v>
      </c>
      <c r="R3" s="55">
        <f>VLOOKUP($B3,Extract_R_20_10_25!$B$2:$H$75,2,FALSE)</f>
        <v>332</v>
      </c>
      <c r="S3" s="31">
        <f>VLOOKUP($B3,Extract_R_20_10_25!$B$2:$H$75,3,FALSE)</f>
        <v>60</v>
      </c>
      <c r="T3" s="55">
        <f>VLOOKUP($B3,Extract_R_20_10_25!$B$2:$H$75,4,FALSE)</f>
        <v>46</v>
      </c>
      <c r="U3" s="41">
        <v>159.4</v>
      </c>
      <c r="V3" s="41">
        <v>129.69999999999999</v>
      </c>
      <c r="W3" s="41">
        <v>137.9</v>
      </c>
      <c r="X3" s="41">
        <v>67.400000000000006</v>
      </c>
      <c r="Y3" s="41">
        <v>48.1</v>
      </c>
      <c r="Z3" s="41">
        <v>48</v>
      </c>
      <c r="AA3" s="41">
        <v>12.6</v>
      </c>
      <c r="AB3" s="41">
        <v>15.7</v>
      </c>
      <c r="AC3" s="41">
        <v>15.4</v>
      </c>
      <c r="AD3" s="41">
        <v>87.1</v>
      </c>
      <c r="AE3" s="56">
        <v>94.7</v>
      </c>
      <c r="AF3" s="41">
        <v>94.5</v>
      </c>
      <c r="AG3" s="41">
        <v>14.5</v>
      </c>
      <c r="AH3" s="41">
        <v>8</v>
      </c>
      <c r="AI3" s="41">
        <v>8.8000000000000007</v>
      </c>
      <c r="AJ3" s="57">
        <v>50.6</v>
      </c>
      <c r="AK3" s="57">
        <v>46.7</v>
      </c>
      <c r="AL3" s="57">
        <v>47.8</v>
      </c>
      <c r="AM3" s="57">
        <v>64.400000000000006</v>
      </c>
      <c r="AN3" s="57">
        <v>62.3</v>
      </c>
      <c r="AO3" s="57">
        <v>63.4</v>
      </c>
      <c r="AP3" s="58">
        <v>1.56</v>
      </c>
      <c r="AQ3" s="58">
        <v>1.42</v>
      </c>
      <c r="AR3" s="58">
        <v>1.43</v>
      </c>
      <c r="AS3" s="41">
        <v>19.399999999999999</v>
      </c>
      <c r="AT3" s="41">
        <v>21.5</v>
      </c>
      <c r="AU3" s="41">
        <v>21.4</v>
      </c>
      <c r="AV3" s="41">
        <v>48.5</v>
      </c>
      <c r="AW3" s="56">
        <v>52.3</v>
      </c>
      <c r="AX3" s="59">
        <v>50.5</v>
      </c>
      <c r="AY3" s="41">
        <v>23.5</v>
      </c>
      <c r="AZ3" s="56">
        <v>29.1</v>
      </c>
      <c r="BA3" s="59">
        <v>29.5</v>
      </c>
      <c r="BB3" s="41">
        <v>11.8</v>
      </c>
      <c r="BC3" s="56">
        <v>7.7</v>
      </c>
      <c r="BD3" s="32">
        <v>9.5</v>
      </c>
      <c r="BH3" s="41">
        <v>0</v>
      </c>
      <c r="BI3" s="41">
        <v>1</v>
      </c>
      <c r="BJ3" s="32">
        <v>1.2</v>
      </c>
      <c r="BK3" s="32">
        <v>78.099999999999994</v>
      </c>
      <c r="BL3" s="32">
        <v>83.4</v>
      </c>
      <c r="BM3" s="32">
        <v>83.3</v>
      </c>
      <c r="BN3" s="32">
        <v>94.7</v>
      </c>
      <c r="BO3" s="32">
        <v>82.7</v>
      </c>
      <c r="BP3" s="32">
        <v>83.3</v>
      </c>
      <c r="BQ3" s="41">
        <v>71.400000000000006</v>
      </c>
      <c r="BR3" s="32">
        <v>74.2</v>
      </c>
      <c r="BS3" s="32">
        <v>75.400000000000006</v>
      </c>
      <c r="BT3" s="32">
        <v>88.2</v>
      </c>
      <c r="BU3" s="32">
        <v>87.1</v>
      </c>
      <c r="BV3" s="32">
        <v>87.6</v>
      </c>
      <c r="BW3" s="41">
        <v>-10.8</v>
      </c>
      <c r="BX3" s="41">
        <v>-5.8</v>
      </c>
      <c r="BY3" s="41">
        <v>-5.8999999999999897</v>
      </c>
      <c r="BZ3" s="41">
        <v>11.1</v>
      </c>
      <c r="CA3" s="41">
        <v>11.3</v>
      </c>
      <c r="CB3" s="41">
        <v>11.2</v>
      </c>
      <c r="CC3" s="57" t="s">
        <v>306</v>
      </c>
      <c r="CD3" s="57" t="s">
        <v>306</v>
      </c>
      <c r="CE3" s="57" t="s">
        <v>306</v>
      </c>
      <c r="CF3" s="32">
        <v>14.44</v>
      </c>
      <c r="CG3" s="32">
        <v>14.525</v>
      </c>
      <c r="CH3" s="32">
        <v>14.55</v>
      </c>
      <c r="CI3" s="32"/>
      <c r="CJ3" s="32"/>
      <c r="CK3" s="32"/>
      <c r="CL3" s="41" t="s">
        <v>306</v>
      </c>
      <c r="CM3" s="31" t="s">
        <v>306</v>
      </c>
      <c r="CN3" s="55" t="s">
        <v>306</v>
      </c>
      <c r="CO3" s="41">
        <v>83.1</v>
      </c>
      <c r="CP3" s="41">
        <v>82.5</v>
      </c>
      <c r="CQ3" s="41">
        <v>75.5</v>
      </c>
      <c r="CR3" s="41">
        <v>4.3</v>
      </c>
      <c r="CS3" s="41">
        <v>5.5</v>
      </c>
      <c r="CT3" s="41">
        <v>5.7</v>
      </c>
      <c r="CU3" s="56">
        <v>42.3</v>
      </c>
      <c r="CV3" s="56">
        <v>43.2</v>
      </c>
      <c r="CW3" s="56">
        <v>43.5</v>
      </c>
      <c r="CX3" s="32" t="str">
        <f t="shared" si="0"/>
        <v>9830007R</v>
      </c>
      <c r="CY3" s="41" t="s">
        <v>306</v>
      </c>
      <c r="CZ3" s="41" t="s">
        <v>306</v>
      </c>
      <c r="DA3" s="41" t="s">
        <v>306</v>
      </c>
      <c r="DD3" s="60"/>
    </row>
    <row r="4" spans="1:108">
      <c r="A4" s="30" t="s">
        <v>137</v>
      </c>
      <c r="B4" s="30" t="s">
        <v>50</v>
      </c>
      <c r="C4" s="30" t="s">
        <v>24</v>
      </c>
      <c r="D4" s="30" t="s">
        <v>110</v>
      </c>
      <c r="E4" s="30" t="s">
        <v>108</v>
      </c>
      <c r="F4" s="31">
        <v>391</v>
      </c>
      <c r="G4" s="31">
        <v>62</v>
      </c>
      <c r="H4" s="31">
        <v>60</v>
      </c>
      <c r="I4" s="31">
        <v>347</v>
      </c>
      <c r="J4" s="55">
        <v>59</v>
      </c>
      <c r="K4" s="31">
        <v>7</v>
      </c>
      <c r="L4" s="31">
        <v>344</v>
      </c>
      <c r="M4" s="55">
        <v>56</v>
      </c>
      <c r="N4" s="55" t="s">
        <v>10</v>
      </c>
      <c r="O4" s="31">
        <v>345</v>
      </c>
      <c r="P4" s="55">
        <v>60</v>
      </c>
      <c r="Q4" s="55" t="s">
        <v>10</v>
      </c>
      <c r="R4" s="55">
        <f>VLOOKUP($B4,Extract_R_20_10_25!$B$2:$H$75,2,FALSE)</f>
        <v>335</v>
      </c>
      <c r="S4" s="31">
        <f>VLOOKUP($B4,Extract_R_20_10_25!$B$2:$H$75,3,FALSE)</f>
        <v>58</v>
      </c>
      <c r="T4" s="55">
        <f>VLOOKUP($B4,Extract_R_20_10_25!$B$2:$H$75,4,FALSE)</f>
        <v>0</v>
      </c>
      <c r="U4" s="41">
        <v>137.5</v>
      </c>
      <c r="V4" s="41">
        <v>129.69999999999999</v>
      </c>
      <c r="W4" s="41">
        <v>137.9</v>
      </c>
      <c r="X4" s="41">
        <v>64.599999999999994</v>
      </c>
      <c r="Y4" s="41">
        <v>48.1</v>
      </c>
      <c r="Z4" s="41">
        <v>48</v>
      </c>
      <c r="AA4" s="41">
        <v>11.4</v>
      </c>
      <c r="AB4" s="41">
        <v>15.7</v>
      </c>
      <c r="AC4" s="41">
        <v>15.4</v>
      </c>
      <c r="AD4" s="41">
        <v>83.6</v>
      </c>
      <c r="AE4" s="56">
        <v>94.7</v>
      </c>
      <c r="AF4" s="41">
        <v>94.5</v>
      </c>
      <c r="AG4" s="41">
        <v>3.8</v>
      </c>
      <c r="AH4" s="41">
        <v>8</v>
      </c>
      <c r="AI4" s="41">
        <v>8.8000000000000007</v>
      </c>
      <c r="AJ4" s="57">
        <v>61.7</v>
      </c>
      <c r="AK4" s="57">
        <v>46.7</v>
      </c>
      <c r="AL4" s="57">
        <v>47.8</v>
      </c>
      <c r="AM4" s="57">
        <v>77.400000000000006</v>
      </c>
      <c r="AN4" s="57">
        <v>62.3</v>
      </c>
      <c r="AO4" s="57">
        <v>63.4</v>
      </c>
      <c r="AP4" s="58">
        <v>1.47</v>
      </c>
      <c r="AQ4" s="58">
        <v>1.42</v>
      </c>
      <c r="AR4" s="58">
        <v>1.43</v>
      </c>
      <c r="AS4" s="41">
        <v>20.7</v>
      </c>
      <c r="AT4" s="41">
        <v>21.5</v>
      </c>
      <c r="AU4" s="41">
        <v>21.4</v>
      </c>
      <c r="AV4" s="41">
        <v>43.8</v>
      </c>
      <c r="AW4" s="56">
        <v>52.3</v>
      </c>
      <c r="AX4" s="59">
        <v>50.5</v>
      </c>
      <c r="AY4" s="41">
        <v>40.4</v>
      </c>
      <c r="AZ4" s="56">
        <v>29.1</v>
      </c>
      <c r="BA4" s="59">
        <v>29.5</v>
      </c>
      <c r="BB4" s="41">
        <v>4.5</v>
      </c>
      <c r="BC4" s="56">
        <v>7.7</v>
      </c>
      <c r="BD4" s="32">
        <v>9.5</v>
      </c>
      <c r="BH4" s="41">
        <v>2.2000000000000002</v>
      </c>
      <c r="BI4" s="41">
        <v>1</v>
      </c>
      <c r="BJ4" s="32">
        <v>1.2</v>
      </c>
      <c r="BK4" s="32">
        <v>86.7</v>
      </c>
      <c r="BL4" s="32">
        <v>83.4</v>
      </c>
      <c r="BM4" s="32">
        <v>83.3</v>
      </c>
      <c r="BN4" s="32">
        <v>89.3</v>
      </c>
      <c r="BO4" s="32">
        <v>82.7</v>
      </c>
      <c r="BP4" s="32">
        <v>83.3</v>
      </c>
      <c r="BQ4" s="41">
        <v>33.299999999999997</v>
      </c>
      <c r="BR4" s="32">
        <v>74.2</v>
      </c>
      <c r="BS4" s="32">
        <v>75.400000000000006</v>
      </c>
      <c r="BT4" s="32">
        <v>84.4</v>
      </c>
      <c r="BU4" s="32">
        <v>87.1</v>
      </c>
      <c r="BV4" s="32">
        <v>87.6</v>
      </c>
      <c r="BW4" s="41">
        <v>-2.8</v>
      </c>
      <c r="BX4" s="41">
        <v>-5.8</v>
      </c>
      <c r="BY4" s="41">
        <v>-5.8999999999999897</v>
      </c>
      <c r="BZ4" s="41">
        <v>10.199999999999999</v>
      </c>
      <c r="CA4" s="41">
        <v>11.3</v>
      </c>
      <c r="CB4" s="41">
        <v>11.2</v>
      </c>
      <c r="CC4" s="57" t="s">
        <v>306</v>
      </c>
      <c r="CD4" s="57" t="s">
        <v>306</v>
      </c>
      <c r="CE4" s="57" t="s">
        <v>306</v>
      </c>
      <c r="CF4" s="32">
        <v>13.494999999999999</v>
      </c>
      <c r="CG4" s="32">
        <v>14.525</v>
      </c>
      <c r="CH4" s="32">
        <v>14.55</v>
      </c>
      <c r="CI4" s="32"/>
      <c r="CJ4" s="32"/>
      <c r="CK4" s="32"/>
      <c r="CL4" s="41" t="s">
        <v>306</v>
      </c>
      <c r="CM4" s="31" t="s">
        <v>306</v>
      </c>
      <c r="CN4" s="55" t="s">
        <v>306</v>
      </c>
      <c r="CO4" s="41">
        <v>76.3</v>
      </c>
      <c r="CP4" s="41">
        <v>82.5</v>
      </c>
      <c r="CQ4" s="41">
        <v>75.5</v>
      </c>
      <c r="CR4" s="41">
        <v>3.2</v>
      </c>
      <c r="CS4" s="41">
        <v>5.5</v>
      </c>
      <c r="CT4" s="41">
        <v>5.7</v>
      </c>
      <c r="CU4" s="56">
        <v>41.3</v>
      </c>
      <c r="CV4" s="56">
        <v>43.2</v>
      </c>
      <c r="CW4" s="56">
        <v>43.5</v>
      </c>
      <c r="CX4" s="32" t="str">
        <f t="shared" si="0"/>
        <v>9830008S</v>
      </c>
      <c r="CY4" s="41" t="s">
        <v>306</v>
      </c>
      <c r="CZ4" s="41" t="s">
        <v>306</v>
      </c>
      <c r="DA4" s="41" t="s">
        <v>306</v>
      </c>
      <c r="DD4" s="60"/>
    </row>
    <row r="5" spans="1:108">
      <c r="A5" s="30" t="s">
        <v>138</v>
      </c>
      <c r="B5" s="30" t="s">
        <v>51</v>
      </c>
      <c r="C5" s="30" t="s">
        <v>24</v>
      </c>
      <c r="D5" s="30" t="s">
        <v>111</v>
      </c>
      <c r="E5" s="30" t="s">
        <v>108</v>
      </c>
      <c r="F5" s="31">
        <v>415</v>
      </c>
      <c r="G5" s="31" t="s">
        <v>10</v>
      </c>
      <c r="H5" s="31">
        <v>46</v>
      </c>
      <c r="I5" s="31">
        <v>317</v>
      </c>
      <c r="J5" s="55" t="s">
        <v>10</v>
      </c>
      <c r="K5" s="31">
        <v>41</v>
      </c>
      <c r="L5" s="31">
        <v>330</v>
      </c>
      <c r="M5" s="55" t="s">
        <v>10</v>
      </c>
      <c r="N5" s="55">
        <v>43</v>
      </c>
      <c r="O5" s="31">
        <v>350</v>
      </c>
      <c r="P5" s="55" t="s">
        <v>10</v>
      </c>
      <c r="Q5" s="55">
        <v>42</v>
      </c>
      <c r="R5" s="55">
        <f>VLOOKUP($B5,Extract_R_20_10_25!$B$2:$H$75,2,FALSE)</f>
        <v>350</v>
      </c>
      <c r="S5" s="31">
        <f>VLOOKUP($B5,Extract_R_20_10_25!$B$2:$H$75,3,FALSE)</f>
        <v>0</v>
      </c>
      <c r="T5" s="55">
        <f>VLOOKUP($B5,Extract_R_20_10_25!$B$2:$H$75,4,FALSE)</f>
        <v>43</v>
      </c>
      <c r="U5" s="41">
        <v>123</v>
      </c>
      <c r="V5" s="41">
        <v>129.69999999999999</v>
      </c>
      <c r="W5" s="41">
        <v>137.9</v>
      </c>
      <c r="X5" s="41">
        <v>57.5</v>
      </c>
      <c r="Y5" s="41">
        <v>48.1</v>
      </c>
      <c r="Z5" s="41">
        <v>48</v>
      </c>
      <c r="AA5" s="41">
        <v>7.2</v>
      </c>
      <c r="AB5" s="41">
        <v>15.7</v>
      </c>
      <c r="AC5" s="41">
        <v>15.4</v>
      </c>
      <c r="AD5" s="41">
        <v>85.6</v>
      </c>
      <c r="AE5" s="56">
        <v>94.7</v>
      </c>
      <c r="AF5" s="41">
        <v>94.5</v>
      </c>
      <c r="AG5" s="41">
        <v>9.1</v>
      </c>
      <c r="AH5" s="41">
        <v>8</v>
      </c>
      <c r="AI5" s="41">
        <v>8.8000000000000007</v>
      </c>
      <c r="AJ5" s="57">
        <v>48.9</v>
      </c>
      <c r="AK5" s="57">
        <v>46.7</v>
      </c>
      <c r="AL5" s="57">
        <v>47.8</v>
      </c>
      <c r="AM5" s="57">
        <v>64</v>
      </c>
      <c r="AN5" s="57">
        <v>62.3</v>
      </c>
      <c r="AO5" s="57">
        <v>63.4</v>
      </c>
      <c r="AP5" s="58">
        <v>1.38</v>
      </c>
      <c r="AQ5" s="58">
        <v>1.42</v>
      </c>
      <c r="AR5" s="58">
        <v>1.43</v>
      </c>
      <c r="AS5" s="41">
        <v>22.1</v>
      </c>
      <c r="AT5" s="41">
        <v>21.5</v>
      </c>
      <c r="AU5" s="41">
        <v>21.4</v>
      </c>
      <c r="AV5" s="41">
        <v>38</v>
      </c>
      <c r="AW5" s="56">
        <v>52.3</v>
      </c>
      <c r="AX5" s="59">
        <v>50.5</v>
      </c>
      <c r="AY5" s="41">
        <v>36.6</v>
      </c>
      <c r="AZ5" s="56">
        <v>29.1</v>
      </c>
      <c r="BA5" s="59">
        <v>29.5</v>
      </c>
      <c r="BB5" s="41">
        <v>15.5</v>
      </c>
      <c r="BC5" s="56">
        <v>7.7</v>
      </c>
      <c r="BD5" s="32">
        <v>9.5</v>
      </c>
      <c r="BH5" s="41">
        <v>1.4</v>
      </c>
      <c r="BI5" s="41">
        <v>1</v>
      </c>
      <c r="BJ5" s="32">
        <v>1.2</v>
      </c>
      <c r="BK5" s="32">
        <v>76.900000000000006</v>
      </c>
      <c r="BL5" s="32">
        <v>83.4</v>
      </c>
      <c r="BM5" s="32">
        <v>83.3</v>
      </c>
      <c r="BN5" s="32">
        <v>87.5</v>
      </c>
      <c r="BO5" s="32">
        <v>82.7</v>
      </c>
      <c r="BP5" s="32">
        <v>83.3</v>
      </c>
      <c r="BQ5" s="41">
        <v>63.6</v>
      </c>
      <c r="BR5" s="32">
        <v>74.2</v>
      </c>
      <c r="BS5" s="32">
        <v>75.400000000000006</v>
      </c>
      <c r="BT5" s="32">
        <v>82.7</v>
      </c>
      <c r="BU5" s="32">
        <v>87.1</v>
      </c>
      <c r="BV5" s="32">
        <v>87.6</v>
      </c>
      <c r="BW5" s="41">
        <v>-0.40000000000000602</v>
      </c>
      <c r="BX5" s="41">
        <v>-5.8</v>
      </c>
      <c r="BY5" s="41">
        <v>-5.8999999999999897</v>
      </c>
      <c r="BZ5" s="41">
        <v>9.9</v>
      </c>
      <c r="CA5" s="41">
        <v>11.3</v>
      </c>
      <c r="CB5" s="41">
        <v>11.2</v>
      </c>
      <c r="CC5" s="57" t="s">
        <v>306</v>
      </c>
      <c r="CD5" s="57" t="s">
        <v>306</v>
      </c>
      <c r="CE5" s="57" t="s">
        <v>306</v>
      </c>
      <c r="CF5" s="32">
        <v>13.31</v>
      </c>
      <c r="CG5" s="32">
        <v>14.525</v>
      </c>
      <c r="CH5" s="32">
        <v>14.55</v>
      </c>
      <c r="CI5" s="32"/>
      <c r="CJ5" s="32"/>
      <c r="CK5" s="32"/>
      <c r="CL5" s="41" t="s">
        <v>306</v>
      </c>
      <c r="CM5" s="31" t="s">
        <v>306</v>
      </c>
      <c r="CN5" s="55" t="s">
        <v>306</v>
      </c>
      <c r="CO5" s="41">
        <v>78.900000000000006</v>
      </c>
      <c r="CP5" s="41">
        <v>82.5</v>
      </c>
      <c r="CQ5" s="41">
        <v>75.5</v>
      </c>
      <c r="CR5" s="41">
        <v>7.6</v>
      </c>
      <c r="CS5" s="41">
        <v>5.5</v>
      </c>
      <c r="CT5" s="41">
        <v>5.7</v>
      </c>
      <c r="CU5" s="56">
        <v>43.3</v>
      </c>
      <c r="CV5" s="56">
        <v>43.2</v>
      </c>
      <c r="CW5" s="56">
        <v>43.5</v>
      </c>
      <c r="CX5" s="32" t="str">
        <f t="shared" si="0"/>
        <v>9830009T</v>
      </c>
      <c r="CY5" s="41" t="s">
        <v>306</v>
      </c>
      <c r="CZ5" s="41" t="s">
        <v>306</v>
      </c>
      <c r="DA5" s="41" t="s">
        <v>306</v>
      </c>
      <c r="DD5" s="60"/>
    </row>
    <row r="6" spans="1:108">
      <c r="A6" s="30" t="s">
        <v>139</v>
      </c>
      <c r="B6" s="30" t="s">
        <v>52</v>
      </c>
      <c r="C6" s="30" t="s">
        <v>24</v>
      </c>
      <c r="D6" s="30" t="s">
        <v>114</v>
      </c>
      <c r="E6" s="30" t="s">
        <v>108</v>
      </c>
      <c r="F6" s="31">
        <v>257</v>
      </c>
      <c r="G6" s="31">
        <v>66</v>
      </c>
      <c r="H6" s="31">
        <v>9</v>
      </c>
      <c r="I6" s="31">
        <v>245</v>
      </c>
      <c r="J6" s="55">
        <v>47</v>
      </c>
      <c r="K6" s="55" t="s">
        <v>10</v>
      </c>
      <c r="L6" s="31">
        <v>258</v>
      </c>
      <c r="M6" s="55">
        <v>50</v>
      </c>
      <c r="N6" s="55" t="s">
        <v>10</v>
      </c>
      <c r="O6" s="31">
        <v>270</v>
      </c>
      <c r="P6" s="55">
        <v>61</v>
      </c>
      <c r="Q6" s="55" t="s">
        <v>10</v>
      </c>
      <c r="R6" s="55">
        <f>VLOOKUP($B6,Extract_R_20_10_25!$B$2:$H$75,2,FALSE)</f>
        <v>266</v>
      </c>
      <c r="S6" s="31">
        <f>VLOOKUP($B6,Extract_R_20_10_25!$B$2:$H$75,3,FALSE)</f>
        <v>55</v>
      </c>
      <c r="T6" s="55">
        <f>VLOOKUP($B6,Extract_R_20_10_25!$B$2:$H$75,4,FALSE)</f>
        <v>0</v>
      </c>
      <c r="U6" s="41">
        <v>123.2</v>
      </c>
      <c r="V6" s="41">
        <v>129.69999999999999</v>
      </c>
      <c r="W6" s="41">
        <v>137.9</v>
      </c>
      <c r="X6" s="41">
        <v>51.7</v>
      </c>
      <c r="Y6" s="41">
        <v>48.1</v>
      </c>
      <c r="Z6" s="41">
        <v>48</v>
      </c>
      <c r="AA6" s="41">
        <v>10.9</v>
      </c>
      <c r="AB6" s="41">
        <v>15.7</v>
      </c>
      <c r="AC6" s="41">
        <v>15.4</v>
      </c>
      <c r="AD6" s="41">
        <v>93.5</v>
      </c>
      <c r="AE6" s="56">
        <v>94.7</v>
      </c>
      <c r="AF6" s="41">
        <v>94.5</v>
      </c>
      <c r="AG6" s="41">
        <v>10.6</v>
      </c>
      <c r="AH6" s="41">
        <v>8</v>
      </c>
      <c r="AI6" s="41">
        <v>8.8000000000000007</v>
      </c>
      <c r="AJ6" s="57">
        <v>51.3</v>
      </c>
      <c r="AK6" s="57">
        <v>46.7</v>
      </c>
      <c r="AL6" s="57">
        <v>47.8</v>
      </c>
      <c r="AM6" s="57">
        <v>76.599999999999994</v>
      </c>
      <c r="AN6" s="57">
        <v>62.3</v>
      </c>
      <c r="AO6" s="57">
        <v>63.4</v>
      </c>
      <c r="AP6" s="58">
        <v>1.42</v>
      </c>
      <c r="AQ6" s="58">
        <v>1.42</v>
      </c>
      <c r="AR6" s="58">
        <v>1.43</v>
      </c>
      <c r="AS6" s="41">
        <v>21.5</v>
      </c>
      <c r="AT6" s="41">
        <v>21.5</v>
      </c>
      <c r="AU6" s="41">
        <v>21.4</v>
      </c>
      <c r="AV6" s="41">
        <v>42.2</v>
      </c>
      <c r="AW6" s="56">
        <v>52.3</v>
      </c>
      <c r="AX6" s="59">
        <v>50.5</v>
      </c>
      <c r="AY6" s="41">
        <v>31.2</v>
      </c>
      <c r="AZ6" s="56">
        <v>29.1</v>
      </c>
      <c r="BA6" s="59">
        <v>29.5</v>
      </c>
      <c r="BB6" s="41">
        <v>15.6</v>
      </c>
      <c r="BC6" s="56">
        <v>7.7</v>
      </c>
      <c r="BD6" s="32">
        <v>9.5</v>
      </c>
      <c r="BH6" s="41">
        <v>1.6</v>
      </c>
      <c r="BI6" s="41">
        <v>1</v>
      </c>
      <c r="BJ6" s="32">
        <v>1.2</v>
      </c>
      <c r="BK6" s="32">
        <v>88.9</v>
      </c>
      <c r="BL6" s="32">
        <v>83.4</v>
      </c>
      <c r="BM6" s="32">
        <v>83.3</v>
      </c>
      <c r="BN6" s="32">
        <v>82.6</v>
      </c>
      <c r="BO6" s="32">
        <v>82.7</v>
      </c>
      <c r="BP6" s="32">
        <v>83.3</v>
      </c>
      <c r="BQ6" s="41">
        <v>40</v>
      </c>
      <c r="BR6" s="32">
        <v>74.2</v>
      </c>
      <c r="BS6" s="32">
        <v>75.400000000000006</v>
      </c>
      <c r="BT6" s="32">
        <v>83.6</v>
      </c>
      <c r="BU6" s="32">
        <v>87.1</v>
      </c>
      <c r="BV6" s="32">
        <v>87.6</v>
      </c>
      <c r="BW6" s="41">
        <v>-3.8</v>
      </c>
      <c r="BX6" s="41">
        <v>-5.8</v>
      </c>
      <c r="BY6" s="41">
        <v>-5.8999999999999897</v>
      </c>
      <c r="BZ6" s="41">
        <v>10.4</v>
      </c>
      <c r="CA6" s="41">
        <v>11.3</v>
      </c>
      <c r="CB6" s="41">
        <v>11.2</v>
      </c>
      <c r="CC6" s="57" t="s">
        <v>306</v>
      </c>
      <c r="CD6" s="57" t="s">
        <v>306</v>
      </c>
      <c r="CE6" s="57" t="s">
        <v>306</v>
      </c>
      <c r="CF6" s="32">
        <v>14.13</v>
      </c>
      <c r="CG6" s="32">
        <v>14.525</v>
      </c>
      <c r="CH6" s="32">
        <v>14.55</v>
      </c>
      <c r="CI6" s="32"/>
      <c r="CJ6" s="32"/>
      <c r="CK6" s="32"/>
      <c r="CL6" s="41" t="s">
        <v>306</v>
      </c>
      <c r="CM6" s="31" t="s">
        <v>306</v>
      </c>
      <c r="CN6" s="55" t="s">
        <v>306</v>
      </c>
      <c r="CO6" s="41">
        <v>92.4</v>
      </c>
      <c r="CP6" s="41">
        <v>82.5</v>
      </c>
      <c r="CQ6" s="41">
        <v>75.5</v>
      </c>
      <c r="CR6" s="41">
        <v>10.1</v>
      </c>
      <c r="CS6" s="41">
        <v>5.5</v>
      </c>
      <c r="CT6" s="41">
        <v>5.7</v>
      </c>
      <c r="CU6" s="56">
        <v>46.2</v>
      </c>
      <c r="CV6" s="56">
        <v>43.2</v>
      </c>
      <c r="CW6" s="56">
        <v>43.5</v>
      </c>
      <c r="CX6" s="32" t="str">
        <f t="shared" si="0"/>
        <v>9830010U</v>
      </c>
      <c r="CY6" s="41" t="s">
        <v>306</v>
      </c>
      <c r="CZ6" s="41" t="s">
        <v>306</v>
      </c>
      <c r="DA6" s="41" t="s">
        <v>306</v>
      </c>
      <c r="DD6" s="60"/>
    </row>
    <row r="7" spans="1:108">
      <c r="A7" s="30" t="s">
        <v>140</v>
      </c>
      <c r="B7" s="30" t="s">
        <v>53</v>
      </c>
      <c r="C7" s="30" t="s">
        <v>100</v>
      </c>
      <c r="D7" s="30" t="s">
        <v>40</v>
      </c>
      <c r="E7" s="30" t="s">
        <v>109</v>
      </c>
      <c r="F7" s="31">
        <v>451</v>
      </c>
      <c r="G7" s="31" t="s">
        <v>10</v>
      </c>
      <c r="H7" s="31" t="s">
        <v>10</v>
      </c>
      <c r="I7" s="31">
        <v>351</v>
      </c>
      <c r="J7" s="55" t="s">
        <v>10</v>
      </c>
      <c r="K7" s="55" t="s">
        <v>10</v>
      </c>
      <c r="L7" s="31">
        <v>348</v>
      </c>
      <c r="M7" s="55" t="s">
        <v>10</v>
      </c>
      <c r="N7" s="55" t="s">
        <v>10</v>
      </c>
      <c r="O7" s="31">
        <v>332</v>
      </c>
      <c r="P7" s="55" t="s">
        <v>10</v>
      </c>
      <c r="Q7" s="55" t="s">
        <v>10</v>
      </c>
      <c r="R7" s="55">
        <f>VLOOKUP($B7,Extract_R_20_10_25!$B$2:$H$75,2,FALSE)</f>
        <v>327</v>
      </c>
      <c r="S7" s="31">
        <f>VLOOKUP($B7,Extract_R_20_10_25!$B$2:$H$75,3,FALSE)</f>
        <v>0</v>
      </c>
      <c r="T7" s="55">
        <f>VLOOKUP($B7,Extract_R_20_10_25!$B$2:$H$75,4,FALSE)</f>
        <v>0</v>
      </c>
      <c r="U7" s="41">
        <v>99.1</v>
      </c>
      <c r="V7" s="41">
        <v>150.80000000000001</v>
      </c>
      <c r="W7" s="41">
        <v>137.9</v>
      </c>
      <c r="X7" s="41">
        <v>47</v>
      </c>
      <c r="Y7" s="41">
        <v>47.7</v>
      </c>
      <c r="Z7" s="41">
        <v>48</v>
      </c>
      <c r="AA7" s="41">
        <v>2.1</v>
      </c>
      <c r="AB7" s="41">
        <v>14.4</v>
      </c>
      <c r="AC7" s="41">
        <v>15.4</v>
      </c>
      <c r="AD7" s="41">
        <v>86.9</v>
      </c>
      <c r="AE7" s="56">
        <v>93.6</v>
      </c>
      <c r="AF7" s="41">
        <v>94.5</v>
      </c>
      <c r="AG7" s="41">
        <v>7.8</v>
      </c>
      <c r="AH7" s="41">
        <v>12</v>
      </c>
      <c r="AI7" s="41">
        <v>8.8000000000000007</v>
      </c>
      <c r="AJ7" s="57">
        <v>63.1</v>
      </c>
      <c r="AK7" s="57">
        <v>51.2</v>
      </c>
      <c r="AL7" s="57">
        <v>47.8</v>
      </c>
      <c r="AM7" s="57">
        <v>76.900000000000006</v>
      </c>
      <c r="AN7" s="57">
        <v>67.099999999999994</v>
      </c>
      <c r="AO7" s="57">
        <v>63.4</v>
      </c>
      <c r="AP7" s="58">
        <v>1.46</v>
      </c>
      <c r="AQ7" s="58">
        <v>1.48</v>
      </c>
      <c r="AR7" s="58">
        <v>1.43</v>
      </c>
      <c r="AS7" s="41">
        <v>22.1</v>
      </c>
      <c r="AT7" s="41">
        <v>20.9</v>
      </c>
      <c r="AU7" s="41">
        <v>21.4</v>
      </c>
      <c r="AV7" s="41">
        <v>43.3</v>
      </c>
      <c r="AW7" s="56">
        <v>44.8</v>
      </c>
      <c r="AX7" s="59">
        <v>50.5</v>
      </c>
      <c r="AY7" s="41">
        <v>24.4</v>
      </c>
      <c r="AZ7" s="56">
        <v>30.7</v>
      </c>
      <c r="BA7" s="59">
        <v>29.5</v>
      </c>
      <c r="BB7" s="41">
        <v>20</v>
      </c>
      <c r="BC7" s="56">
        <v>15.7</v>
      </c>
      <c r="BD7" s="32">
        <v>9.5</v>
      </c>
      <c r="BH7" s="41">
        <v>3.3</v>
      </c>
      <c r="BI7" s="41">
        <v>1.8</v>
      </c>
      <c r="BJ7" s="32">
        <v>1.2</v>
      </c>
      <c r="BK7" s="32">
        <v>89.7</v>
      </c>
      <c r="BL7" s="32">
        <v>83</v>
      </c>
      <c r="BM7" s="32">
        <v>83.3</v>
      </c>
      <c r="BN7" s="32">
        <v>93.9</v>
      </c>
      <c r="BO7" s="32">
        <v>85.5</v>
      </c>
      <c r="BP7" s="32">
        <v>83.3</v>
      </c>
      <c r="BQ7" s="41">
        <v>70.400000000000006</v>
      </c>
      <c r="BR7" s="32">
        <v>77.7</v>
      </c>
      <c r="BS7" s="32">
        <v>75.400000000000006</v>
      </c>
      <c r="BT7" s="32">
        <v>87.2</v>
      </c>
      <c r="BU7" s="32">
        <v>89.2</v>
      </c>
      <c r="BV7" s="32">
        <v>87.6</v>
      </c>
      <c r="BW7" s="41">
        <v>9.3000000000000007</v>
      </c>
      <c r="BX7" s="41">
        <v>-6.5</v>
      </c>
      <c r="BY7" s="41">
        <v>-5.8999999999999897</v>
      </c>
      <c r="BZ7" s="41">
        <v>11.4</v>
      </c>
      <c r="CA7" s="41">
        <v>11</v>
      </c>
      <c r="CB7" s="41">
        <v>11.2</v>
      </c>
      <c r="CC7" s="57" t="s">
        <v>306</v>
      </c>
      <c r="CD7" s="57" t="s">
        <v>306</v>
      </c>
      <c r="CE7" s="57" t="s">
        <v>306</v>
      </c>
      <c r="CF7" s="32">
        <v>14.04</v>
      </c>
      <c r="CG7" s="32">
        <v>14.625</v>
      </c>
      <c r="CH7" s="32">
        <v>14.55</v>
      </c>
      <c r="CI7" s="32"/>
      <c r="CJ7" s="32"/>
      <c r="CK7" s="32"/>
      <c r="CL7" s="55" t="s">
        <v>306</v>
      </c>
      <c r="CM7" s="55" t="s">
        <v>306</v>
      </c>
      <c r="CN7" s="55" t="s">
        <v>306</v>
      </c>
      <c r="CO7" s="41">
        <v>64.2</v>
      </c>
      <c r="CP7" s="41">
        <v>51.5</v>
      </c>
      <c r="CQ7" s="41">
        <v>75.5</v>
      </c>
      <c r="CR7" s="41">
        <v>3.7</v>
      </c>
      <c r="CS7" s="41">
        <v>6.1</v>
      </c>
      <c r="CT7" s="41">
        <v>5.7</v>
      </c>
      <c r="CU7" s="56">
        <v>40.1</v>
      </c>
      <c r="CV7" s="56">
        <v>44.4</v>
      </c>
      <c r="CW7" s="56">
        <v>43.5</v>
      </c>
      <c r="CX7" s="32" t="str">
        <f t="shared" si="0"/>
        <v>9830259P</v>
      </c>
      <c r="CY7" s="41" t="s">
        <v>306</v>
      </c>
      <c r="CZ7" s="41" t="s">
        <v>306</v>
      </c>
      <c r="DA7" s="41" t="s">
        <v>306</v>
      </c>
      <c r="DD7" s="60"/>
    </row>
    <row r="8" spans="1:108">
      <c r="A8" s="30" t="s">
        <v>141</v>
      </c>
      <c r="B8" s="30" t="s">
        <v>54</v>
      </c>
      <c r="C8" s="30" t="s">
        <v>100</v>
      </c>
      <c r="D8" s="30" t="s">
        <v>40</v>
      </c>
      <c r="E8" s="30" t="s">
        <v>109</v>
      </c>
      <c r="F8" s="31">
        <v>690</v>
      </c>
      <c r="G8" s="31" t="s">
        <v>10</v>
      </c>
      <c r="H8" s="31" t="s">
        <v>10</v>
      </c>
      <c r="I8" s="31">
        <v>658</v>
      </c>
      <c r="J8" s="55" t="s">
        <v>10</v>
      </c>
      <c r="K8" s="55" t="s">
        <v>10</v>
      </c>
      <c r="L8" s="31">
        <v>645</v>
      </c>
      <c r="M8" s="55" t="s">
        <v>10</v>
      </c>
      <c r="N8" s="55" t="s">
        <v>10</v>
      </c>
      <c r="O8" s="31">
        <v>616</v>
      </c>
      <c r="P8" s="55" t="s">
        <v>10</v>
      </c>
      <c r="Q8" s="55" t="s">
        <v>10</v>
      </c>
      <c r="R8" s="55">
        <f>VLOOKUP($B8,Extract_R_20_10_25!$B$2:$H$75,2,FALSE)</f>
        <v>610</v>
      </c>
      <c r="S8" s="31">
        <f>VLOOKUP($B8,Extract_R_20_10_25!$B$2:$H$75,3,FALSE)</f>
        <v>0</v>
      </c>
      <c r="T8" s="55">
        <f>VLOOKUP($B8,Extract_R_20_10_25!$B$2:$H$75,4,FALSE)</f>
        <v>0</v>
      </c>
      <c r="U8" s="41">
        <v>98.4</v>
      </c>
      <c r="V8" s="41">
        <v>150.80000000000001</v>
      </c>
      <c r="W8" s="41">
        <v>137.9</v>
      </c>
      <c r="X8" s="41">
        <v>15.9</v>
      </c>
      <c r="Y8" s="41">
        <v>47.7</v>
      </c>
      <c r="Z8" s="41">
        <v>48</v>
      </c>
      <c r="AA8" s="41">
        <v>41.4</v>
      </c>
      <c r="AB8" s="41">
        <v>14.4</v>
      </c>
      <c r="AC8" s="41">
        <v>15.4</v>
      </c>
      <c r="AD8" s="41">
        <v>125.1</v>
      </c>
      <c r="AE8" s="56">
        <v>93.6</v>
      </c>
      <c r="AF8" s="41">
        <v>94.5</v>
      </c>
      <c r="AG8" s="41">
        <v>7.4</v>
      </c>
      <c r="AH8" s="41">
        <v>12</v>
      </c>
      <c r="AI8" s="41">
        <v>8.8000000000000007</v>
      </c>
      <c r="AJ8" s="57">
        <v>15.9</v>
      </c>
      <c r="AK8" s="57">
        <v>51.2</v>
      </c>
      <c r="AL8" s="57">
        <v>47.8</v>
      </c>
      <c r="AM8" s="57">
        <v>26.9</v>
      </c>
      <c r="AN8" s="57">
        <v>67.099999999999994</v>
      </c>
      <c r="AO8" s="57">
        <v>63.4</v>
      </c>
      <c r="AP8" s="58">
        <v>1.19</v>
      </c>
      <c r="AQ8" s="58">
        <v>1.48</v>
      </c>
      <c r="AR8" s="58">
        <v>1.43</v>
      </c>
      <c r="AS8" s="41">
        <v>25.7</v>
      </c>
      <c r="AT8" s="41">
        <v>20.9</v>
      </c>
      <c r="AU8" s="41">
        <v>21.4</v>
      </c>
      <c r="AV8" s="41">
        <v>76.3</v>
      </c>
      <c r="AW8" s="56">
        <v>44.8</v>
      </c>
      <c r="AX8" s="59">
        <v>50.5</v>
      </c>
      <c r="AY8" s="41">
        <v>16.7</v>
      </c>
      <c r="AZ8" s="56">
        <v>30.7</v>
      </c>
      <c r="BA8" s="59">
        <v>29.5</v>
      </c>
      <c r="BB8" s="41">
        <v>0</v>
      </c>
      <c r="BC8" s="56">
        <v>15.7</v>
      </c>
      <c r="BD8" s="32">
        <v>9.5</v>
      </c>
      <c r="BH8" s="41">
        <v>0</v>
      </c>
      <c r="BI8" s="41">
        <v>1.8</v>
      </c>
      <c r="BJ8" s="32">
        <v>1.2</v>
      </c>
      <c r="BK8" s="32">
        <v>90.8</v>
      </c>
      <c r="BL8" s="32">
        <v>83</v>
      </c>
      <c r="BM8" s="32">
        <v>83.3</v>
      </c>
      <c r="BN8" s="32">
        <v>80</v>
      </c>
      <c r="BO8" s="32">
        <v>85.5</v>
      </c>
      <c r="BP8" s="32">
        <v>83.3</v>
      </c>
      <c r="BQ8" s="41">
        <v>100</v>
      </c>
      <c r="BR8" s="32">
        <v>77.7</v>
      </c>
      <c r="BS8" s="32">
        <v>75.400000000000006</v>
      </c>
      <c r="BT8" s="32">
        <v>98</v>
      </c>
      <c r="BU8" s="32">
        <v>89.2</v>
      </c>
      <c r="BV8" s="32">
        <v>87.6</v>
      </c>
      <c r="BW8" s="41">
        <v>-13.6</v>
      </c>
      <c r="BX8" s="41">
        <v>-6.5</v>
      </c>
      <c r="BY8" s="41">
        <v>-5.8999999999999897</v>
      </c>
      <c r="BZ8" s="41">
        <v>14</v>
      </c>
      <c r="CA8" s="41">
        <v>11</v>
      </c>
      <c r="CB8" s="41">
        <v>11.2</v>
      </c>
      <c r="CC8" s="57" t="s">
        <v>306</v>
      </c>
      <c r="CD8" s="57" t="s">
        <v>306</v>
      </c>
      <c r="CE8" s="57" t="s">
        <v>306</v>
      </c>
      <c r="CF8" s="32">
        <v>15.505000000000001</v>
      </c>
      <c r="CG8" s="32">
        <v>14.625</v>
      </c>
      <c r="CH8" s="32">
        <v>14.55</v>
      </c>
      <c r="CI8" s="32"/>
      <c r="CJ8" s="32"/>
      <c r="CK8" s="32"/>
      <c r="CL8" s="55" t="s">
        <v>306</v>
      </c>
      <c r="CM8" s="55" t="s">
        <v>306</v>
      </c>
      <c r="CN8" s="55" t="s">
        <v>306</v>
      </c>
      <c r="CO8" s="41">
        <v>71.8</v>
      </c>
      <c r="CP8" s="41">
        <v>51.5</v>
      </c>
      <c r="CQ8" s="41">
        <v>75.5</v>
      </c>
      <c r="CR8" s="41">
        <v>6.7</v>
      </c>
      <c r="CS8" s="41">
        <v>6.1</v>
      </c>
      <c r="CT8" s="41">
        <v>5.7</v>
      </c>
      <c r="CU8" s="56">
        <v>47.2</v>
      </c>
      <c r="CV8" s="56">
        <v>44.4</v>
      </c>
      <c r="CW8" s="56">
        <v>43.5</v>
      </c>
      <c r="CX8" s="32" t="str">
        <f t="shared" si="0"/>
        <v>9830260R</v>
      </c>
      <c r="CY8" s="41" t="s">
        <v>306</v>
      </c>
      <c r="CZ8" s="41" t="s">
        <v>306</v>
      </c>
      <c r="DA8" s="41" t="s">
        <v>306</v>
      </c>
      <c r="DD8" s="60"/>
    </row>
    <row r="9" spans="1:108">
      <c r="A9" s="30" t="s">
        <v>142</v>
      </c>
      <c r="B9" s="30" t="s">
        <v>55</v>
      </c>
      <c r="C9" s="30" t="s">
        <v>100</v>
      </c>
      <c r="D9" s="30" t="s">
        <v>112</v>
      </c>
      <c r="E9" s="30" t="s">
        <v>109</v>
      </c>
      <c r="F9" s="31">
        <v>103</v>
      </c>
      <c r="G9" s="31" t="s">
        <v>10</v>
      </c>
      <c r="H9" s="31" t="s">
        <v>10</v>
      </c>
      <c r="I9" s="31">
        <v>238</v>
      </c>
      <c r="J9" s="55" t="s">
        <v>10</v>
      </c>
      <c r="K9" s="55" t="s">
        <v>10</v>
      </c>
      <c r="L9" s="31">
        <v>276</v>
      </c>
      <c r="M9" s="55" t="s">
        <v>10</v>
      </c>
      <c r="N9" s="55" t="s">
        <v>10</v>
      </c>
      <c r="O9" s="31">
        <v>234</v>
      </c>
      <c r="P9" s="55" t="s">
        <v>10</v>
      </c>
      <c r="Q9" s="55" t="s">
        <v>10</v>
      </c>
      <c r="R9" s="55">
        <f>VLOOKUP($B9,Extract_R_20_10_25!$B$2:$H$75,2,FALSE)</f>
        <v>230</v>
      </c>
      <c r="S9" s="31">
        <f>VLOOKUP($B9,Extract_R_20_10_25!$B$2:$H$75,3,FALSE)</f>
        <v>0</v>
      </c>
      <c r="T9" s="55">
        <f>VLOOKUP($B9,Extract_R_20_10_25!$B$2:$H$75,4,FALSE)</f>
        <v>0</v>
      </c>
      <c r="U9" s="41">
        <v>99.6</v>
      </c>
      <c r="V9" s="41">
        <v>150.80000000000001</v>
      </c>
      <c r="W9" s="41">
        <v>137.9</v>
      </c>
      <c r="X9" s="41">
        <v>47.9</v>
      </c>
      <c r="Y9" s="41">
        <v>47.7</v>
      </c>
      <c r="Z9" s="41">
        <v>48</v>
      </c>
      <c r="AA9" s="41">
        <v>4.7</v>
      </c>
      <c r="AB9" s="41">
        <v>14.4</v>
      </c>
      <c r="AC9" s="41">
        <v>15.4</v>
      </c>
      <c r="AD9" s="41">
        <v>84.5</v>
      </c>
      <c r="AE9" s="56">
        <v>93.6</v>
      </c>
      <c r="AF9" s="41">
        <v>94.5</v>
      </c>
      <c r="AG9" s="41">
        <v>14.1</v>
      </c>
      <c r="AH9" s="41">
        <v>12</v>
      </c>
      <c r="AI9" s="41">
        <v>8.8000000000000007</v>
      </c>
      <c r="AJ9" s="57">
        <v>37.1</v>
      </c>
      <c r="AK9" s="57">
        <v>51.2</v>
      </c>
      <c r="AL9" s="57">
        <v>47.8</v>
      </c>
      <c r="AM9" s="57">
        <v>61.5</v>
      </c>
      <c r="AN9" s="57">
        <v>67.099999999999994</v>
      </c>
      <c r="AO9" s="57">
        <v>63.4</v>
      </c>
      <c r="AP9" s="58">
        <v>1.32</v>
      </c>
      <c r="AQ9" s="58">
        <v>1.48</v>
      </c>
      <c r="AR9" s="58">
        <v>1.43</v>
      </c>
      <c r="AS9" s="41">
        <v>23.4</v>
      </c>
      <c r="AT9" s="41">
        <v>20.9</v>
      </c>
      <c r="AU9" s="41">
        <v>21.4</v>
      </c>
      <c r="AV9" s="41">
        <v>40</v>
      </c>
      <c r="AW9" s="56">
        <v>44.8</v>
      </c>
      <c r="AX9" s="59">
        <v>50.5</v>
      </c>
      <c r="AY9" s="41">
        <v>44.3</v>
      </c>
      <c r="AZ9" s="56">
        <v>30.7</v>
      </c>
      <c r="BA9" s="59">
        <v>29.5</v>
      </c>
      <c r="BB9" s="41">
        <v>5.7</v>
      </c>
      <c r="BC9" s="56">
        <v>15.7</v>
      </c>
      <c r="BD9" s="32">
        <v>9.5</v>
      </c>
      <c r="BH9" s="41">
        <v>0</v>
      </c>
      <c r="BI9" s="41">
        <v>1.8</v>
      </c>
      <c r="BJ9" s="32">
        <v>1.2</v>
      </c>
      <c r="BK9" s="32">
        <v>100</v>
      </c>
      <c r="BL9" s="32">
        <v>83</v>
      </c>
      <c r="BM9" s="32">
        <v>83.3</v>
      </c>
      <c r="BN9" s="32">
        <v>88</v>
      </c>
      <c r="BO9" s="32">
        <v>85.5</v>
      </c>
      <c r="BP9" s="32">
        <v>83.3</v>
      </c>
      <c r="BQ9" s="41">
        <v>100</v>
      </c>
      <c r="BR9" s="32">
        <v>77.7</v>
      </c>
      <c r="BS9" s="32">
        <v>75.400000000000006</v>
      </c>
      <c r="BT9" s="32">
        <v>76.3</v>
      </c>
      <c r="BU9" s="32">
        <v>89.2</v>
      </c>
      <c r="BV9" s="32">
        <v>87.6</v>
      </c>
      <c r="BW9" s="41">
        <v>-7.5</v>
      </c>
      <c r="BX9" s="41">
        <v>-6.5</v>
      </c>
      <c r="BY9" s="41">
        <v>-5.8999999999999897</v>
      </c>
      <c r="BZ9" s="41">
        <v>9.4</v>
      </c>
      <c r="CA9" s="41">
        <v>11</v>
      </c>
      <c r="CB9" s="41">
        <v>11.2</v>
      </c>
      <c r="CC9" s="57" t="s">
        <v>306</v>
      </c>
      <c r="CD9" s="57" t="s">
        <v>306</v>
      </c>
      <c r="CE9" s="57" t="s">
        <v>306</v>
      </c>
      <c r="CF9" s="32">
        <v>14.904999999999999</v>
      </c>
      <c r="CG9" s="32">
        <v>14.625</v>
      </c>
      <c r="CH9" s="32">
        <v>14.55</v>
      </c>
      <c r="CI9" s="32"/>
      <c r="CJ9" s="32"/>
      <c r="CK9" s="32"/>
      <c r="CL9" s="55" t="s">
        <v>306</v>
      </c>
      <c r="CM9" s="55" t="s">
        <v>306</v>
      </c>
      <c r="CN9" s="55" t="s">
        <v>306</v>
      </c>
      <c r="CO9" s="41">
        <v>65.599999999999994</v>
      </c>
      <c r="CP9" s="41">
        <v>51.5</v>
      </c>
      <c r="CQ9" s="41">
        <v>75.5</v>
      </c>
      <c r="CR9" s="41">
        <v>4.3</v>
      </c>
      <c r="CS9" s="41">
        <v>6.1</v>
      </c>
      <c r="CT9" s="41">
        <v>5.7</v>
      </c>
      <c r="CU9" s="56">
        <v>44.4</v>
      </c>
      <c r="CV9" s="56">
        <v>44.4</v>
      </c>
      <c r="CW9" s="56">
        <v>43.5</v>
      </c>
      <c r="CX9" s="32" t="str">
        <f t="shared" si="0"/>
        <v>9830263U</v>
      </c>
      <c r="CY9" s="41" t="s">
        <v>306</v>
      </c>
      <c r="CZ9" s="41" t="s">
        <v>306</v>
      </c>
      <c r="DA9" s="41" t="s">
        <v>306</v>
      </c>
      <c r="DD9" s="60"/>
    </row>
    <row r="10" spans="1:108">
      <c r="A10" s="30" t="s">
        <v>143</v>
      </c>
      <c r="B10" s="30" t="s">
        <v>56</v>
      </c>
      <c r="C10" s="30" t="s">
        <v>100</v>
      </c>
      <c r="D10" s="30" t="s">
        <v>113</v>
      </c>
      <c r="E10" s="30" t="s">
        <v>109</v>
      </c>
      <c r="F10" s="31">
        <v>532</v>
      </c>
      <c r="G10" s="31">
        <v>70</v>
      </c>
      <c r="H10" s="31" t="s">
        <v>10</v>
      </c>
      <c r="I10" s="31">
        <v>420</v>
      </c>
      <c r="J10" s="55">
        <v>60</v>
      </c>
      <c r="K10" s="55" t="s">
        <v>10</v>
      </c>
      <c r="L10" s="31">
        <v>413</v>
      </c>
      <c r="M10" s="55">
        <v>61</v>
      </c>
      <c r="N10" s="55" t="s">
        <v>10</v>
      </c>
      <c r="O10" s="31">
        <v>413</v>
      </c>
      <c r="P10" s="55">
        <v>52</v>
      </c>
      <c r="Q10" s="55" t="s">
        <v>10</v>
      </c>
      <c r="R10" s="55">
        <f>VLOOKUP($B10,Extract_R_20_10_25!$B$2:$H$75,2,FALSE)</f>
        <v>407</v>
      </c>
      <c r="S10" s="31">
        <f>VLOOKUP($B10,Extract_R_20_10_25!$B$2:$H$75,3,FALSE)</f>
        <v>50</v>
      </c>
      <c r="T10" s="55">
        <f>VLOOKUP($B10,Extract_R_20_10_25!$B$2:$H$75,4,FALSE)</f>
        <v>0</v>
      </c>
      <c r="U10" s="41">
        <v>101.3</v>
      </c>
      <c r="V10" s="41">
        <v>150.80000000000001</v>
      </c>
      <c r="W10" s="41">
        <v>137.9</v>
      </c>
      <c r="X10" s="41">
        <v>48.8</v>
      </c>
      <c r="Y10" s="41">
        <v>47.7</v>
      </c>
      <c r="Z10" s="41">
        <v>48</v>
      </c>
      <c r="AA10" s="41">
        <v>11.6</v>
      </c>
      <c r="AB10" s="41">
        <v>14.4</v>
      </c>
      <c r="AC10" s="41">
        <v>15.4</v>
      </c>
      <c r="AD10" s="41">
        <v>92.1</v>
      </c>
      <c r="AE10" s="56">
        <v>93.6</v>
      </c>
      <c r="AF10" s="41">
        <v>94.5</v>
      </c>
      <c r="AG10" s="41">
        <v>10.7</v>
      </c>
      <c r="AH10" s="41">
        <v>12</v>
      </c>
      <c r="AI10" s="41">
        <v>8.8000000000000007</v>
      </c>
      <c r="AJ10" s="57">
        <v>41.7</v>
      </c>
      <c r="AK10" s="57">
        <v>51.2</v>
      </c>
      <c r="AL10" s="57">
        <v>47.8</v>
      </c>
      <c r="AM10" s="57">
        <v>60.5</v>
      </c>
      <c r="AN10" s="57">
        <v>67.099999999999994</v>
      </c>
      <c r="AO10" s="57">
        <v>63.4</v>
      </c>
      <c r="AP10" s="58">
        <v>1.45</v>
      </c>
      <c r="AQ10" s="58">
        <v>1.48</v>
      </c>
      <c r="AR10" s="58">
        <v>1.43</v>
      </c>
      <c r="AS10" s="41">
        <v>20.6</v>
      </c>
      <c r="AT10" s="41">
        <v>20.9</v>
      </c>
      <c r="AU10" s="41">
        <v>21.4</v>
      </c>
      <c r="AV10" s="41">
        <v>44.3</v>
      </c>
      <c r="AW10" s="56">
        <v>44.8</v>
      </c>
      <c r="AX10" s="59">
        <v>50.5</v>
      </c>
      <c r="AY10" s="41">
        <v>34</v>
      </c>
      <c r="AZ10" s="56">
        <v>30.7</v>
      </c>
      <c r="BA10" s="59">
        <v>29.5</v>
      </c>
      <c r="BB10" s="41">
        <v>17</v>
      </c>
      <c r="BC10" s="56">
        <v>15.7</v>
      </c>
      <c r="BD10" s="32">
        <v>9.5</v>
      </c>
      <c r="BH10" s="41">
        <v>0.9</v>
      </c>
      <c r="BI10" s="41">
        <v>1.8</v>
      </c>
      <c r="BJ10" s="32">
        <v>1.2</v>
      </c>
      <c r="BK10" s="32">
        <v>86</v>
      </c>
      <c r="BL10" s="32">
        <v>83</v>
      </c>
      <c r="BM10" s="32">
        <v>83.3</v>
      </c>
      <c r="BN10" s="32">
        <v>87.8</v>
      </c>
      <c r="BO10" s="32">
        <v>85.5</v>
      </c>
      <c r="BP10" s="32">
        <v>83.3</v>
      </c>
      <c r="BQ10" s="41">
        <v>72.2</v>
      </c>
      <c r="BR10" s="32">
        <v>77.7</v>
      </c>
      <c r="BS10" s="32">
        <v>75.400000000000006</v>
      </c>
      <c r="BT10" s="32">
        <v>95.8</v>
      </c>
      <c r="BU10" s="32">
        <v>89.2</v>
      </c>
      <c r="BV10" s="32">
        <v>87.6</v>
      </c>
      <c r="BW10" s="41">
        <v>3.8</v>
      </c>
      <c r="BX10" s="41">
        <v>-6.5</v>
      </c>
      <c r="BY10" s="41">
        <v>-5.8999999999999897</v>
      </c>
      <c r="BZ10" s="41">
        <v>10.5</v>
      </c>
      <c r="CA10" s="41">
        <v>11</v>
      </c>
      <c r="CB10" s="41">
        <v>11.2</v>
      </c>
      <c r="CC10" s="57" t="s">
        <v>306</v>
      </c>
      <c r="CD10" s="57" t="s">
        <v>306</v>
      </c>
      <c r="CE10" s="57" t="s">
        <v>306</v>
      </c>
      <c r="CF10" s="32">
        <v>14.76</v>
      </c>
      <c r="CG10" s="32">
        <v>14.625</v>
      </c>
      <c r="CH10" s="32">
        <v>14.55</v>
      </c>
      <c r="CI10" s="32"/>
      <c r="CJ10" s="32"/>
      <c r="CK10" s="32"/>
      <c r="CL10" s="55" t="s">
        <v>306</v>
      </c>
      <c r="CM10" s="55" t="s">
        <v>306</v>
      </c>
      <c r="CN10" s="55" t="s">
        <v>306</v>
      </c>
      <c r="CO10" s="41">
        <v>58.6</v>
      </c>
      <c r="CP10" s="41">
        <v>51.5</v>
      </c>
      <c r="CQ10" s="41">
        <v>75.5</v>
      </c>
      <c r="CR10" s="41">
        <v>6.5</v>
      </c>
      <c r="CS10" s="41">
        <v>6.1</v>
      </c>
      <c r="CT10" s="41">
        <v>5.7</v>
      </c>
      <c r="CU10" s="56">
        <v>48.2</v>
      </c>
      <c r="CV10" s="56">
        <v>44.4</v>
      </c>
      <c r="CW10" s="56">
        <v>43.5</v>
      </c>
      <c r="CX10" s="32" t="str">
        <f t="shared" si="0"/>
        <v>9830264V</v>
      </c>
      <c r="CY10" s="41" t="s">
        <v>306</v>
      </c>
      <c r="CZ10" s="41" t="s">
        <v>306</v>
      </c>
      <c r="DA10" s="41" t="s">
        <v>306</v>
      </c>
      <c r="DD10" s="60"/>
    </row>
    <row r="11" spans="1:108">
      <c r="A11" s="30" t="s">
        <v>144</v>
      </c>
      <c r="B11" s="30" t="s">
        <v>57</v>
      </c>
      <c r="C11" s="30" t="s">
        <v>100</v>
      </c>
      <c r="D11" s="30" t="s">
        <v>114</v>
      </c>
      <c r="E11" s="30" t="s">
        <v>109</v>
      </c>
      <c r="F11" s="31">
        <v>297</v>
      </c>
      <c r="G11" s="31" t="s">
        <v>10</v>
      </c>
      <c r="H11" s="31" t="s">
        <v>10</v>
      </c>
      <c r="I11" s="31">
        <v>132</v>
      </c>
      <c r="J11" s="55" t="s">
        <v>10</v>
      </c>
      <c r="K11" s="55" t="s">
        <v>10</v>
      </c>
      <c r="L11" s="31">
        <v>134</v>
      </c>
      <c r="M11" s="55" t="s">
        <v>10</v>
      </c>
      <c r="N11" s="55" t="s">
        <v>10</v>
      </c>
      <c r="O11" s="31">
        <v>133</v>
      </c>
      <c r="P11" s="55" t="s">
        <v>10</v>
      </c>
      <c r="Q11" s="55" t="s">
        <v>10</v>
      </c>
      <c r="R11" s="55">
        <f>VLOOKUP($B11,Extract_R_20_10_25!$B$2:$H$75,2,FALSE)</f>
        <v>133</v>
      </c>
      <c r="S11" s="31">
        <f>VLOOKUP($B11,Extract_R_20_10_25!$B$2:$H$75,3,FALSE)</f>
        <v>0</v>
      </c>
      <c r="T11" s="55">
        <f>VLOOKUP($B11,Extract_R_20_10_25!$B$2:$H$75,4,FALSE)</f>
        <v>0</v>
      </c>
      <c r="U11" s="41">
        <v>124.9</v>
      </c>
      <c r="V11" s="41">
        <v>150.80000000000001</v>
      </c>
      <c r="W11" s="41">
        <v>137.9</v>
      </c>
      <c r="X11" s="41">
        <v>48.5</v>
      </c>
      <c r="Y11" s="41">
        <v>47.7</v>
      </c>
      <c r="Z11" s="41">
        <v>48</v>
      </c>
      <c r="AA11" s="41">
        <v>12.9</v>
      </c>
      <c r="AB11" s="41">
        <v>14.4</v>
      </c>
      <c r="AC11" s="41">
        <v>15.4</v>
      </c>
      <c r="AD11" s="41">
        <v>92.3</v>
      </c>
      <c r="AE11" s="56">
        <v>93.6</v>
      </c>
      <c r="AF11" s="41">
        <v>94.5</v>
      </c>
      <c r="AG11" s="41">
        <v>21.4</v>
      </c>
      <c r="AH11" s="41">
        <v>12</v>
      </c>
      <c r="AI11" s="41">
        <v>8.8000000000000007</v>
      </c>
      <c r="AJ11" s="57">
        <v>39.5</v>
      </c>
      <c r="AK11" s="57">
        <v>51.2</v>
      </c>
      <c r="AL11" s="57">
        <v>47.8</v>
      </c>
      <c r="AM11" s="57">
        <v>68.3</v>
      </c>
      <c r="AN11" s="57">
        <v>67.099999999999994</v>
      </c>
      <c r="AO11" s="57">
        <v>63.4</v>
      </c>
      <c r="AP11" s="58">
        <v>1.85</v>
      </c>
      <c r="AQ11" s="58">
        <v>1.48</v>
      </c>
      <c r="AR11" s="58">
        <v>1.43</v>
      </c>
      <c r="AS11" s="41">
        <v>19</v>
      </c>
      <c r="AT11" s="41">
        <v>20.9</v>
      </c>
      <c r="AU11" s="41">
        <v>21.4</v>
      </c>
      <c r="AV11" s="41">
        <v>31.2</v>
      </c>
      <c r="AW11" s="56">
        <v>44.8</v>
      </c>
      <c r="AX11" s="59">
        <v>50.5</v>
      </c>
      <c r="AY11" s="41">
        <v>43.8</v>
      </c>
      <c r="AZ11" s="56">
        <v>30.7</v>
      </c>
      <c r="BA11" s="59">
        <v>29.5</v>
      </c>
      <c r="BB11" s="41">
        <v>18.8</v>
      </c>
      <c r="BC11" s="56">
        <v>15.7</v>
      </c>
      <c r="BD11" s="32">
        <v>9.5</v>
      </c>
      <c r="BH11" s="41">
        <v>0</v>
      </c>
      <c r="BI11" s="41">
        <v>1.8</v>
      </c>
      <c r="BJ11" s="32">
        <v>1.2</v>
      </c>
      <c r="BK11" s="32">
        <v>71.400000000000006</v>
      </c>
      <c r="BL11" s="32">
        <v>83</v>
      </c>
      <c r="BM11" s="32">
        <v>83.3</v>
      </c>
      <c r="BN11" s="32">
        <v>100</v>
      </c>
      <c r="BO11" s="32">
        <v>85.5</v>
      </c>
      <c r="BP11" s="32">
        <v>83.3</v>
      </c>
      <c r="BQ11" s="41">
        <v>90.9</v>
      </c>
      <c r="BR11" s="32">
        <v>77.7</v>
      </c>
      <c r="BS11" s="32">
        <v>75.400000000000006</v>
      </c>
      <c r="BT11" s="32">
        <v>82.4</v>
      </c>
      <c r="BU11" s="32">
        <v>89.2</v>
      </c>
      <c r="BV11" s="32">
        <v>87.6</v>
      </c>
      <c r="BW11" s="41">
        <v>-35.299999999999997</v>
      </c>
      <c r="BX11" s="41">
        <v>-6.5</v>
      </c>
      <c r="BY11" s="41">
        <v>-5.8999999999999897</v>
      </c>
      <c r="BZ11" s="41">
        <v>10.1</v>
      </c>
      <c r="CA11" s="41">
        <v>11</v>
      </c>
      <c r="CB11" s="41">
        <v>11.2</v>
      </c>
      <c r="CC11" s="57" t="s">
        <v>306</v>
      </c>
      <c r="CD11" s="57" t="s">
        <v>306</v>
      </c>
      <c r="CE11" s="57" t="s">
        <v>306</v>
      </c>
      <c r="CF11" s="32">
        <v>14.154999999999999</v>
      </c>
      <c r="CG11" s="32">
        <v>14.625</v>
      </c>
      <c r="CH11" s="32">
        <v>14.55</v>
      </c>
      <c r="CI11" s="32"/>
      <c r="CJ11" s="32"/>
      <c r="CK11" s="32"/>
      <c r="CL11" s="55" t="s">
        <v>306</v>
      </c>
      <c r="CM11" s="55" t="s">
        <v>306</v>
      </c>
      <c r="CN11" s="55" t="s">
        <v>306</v>
      </c>
      <c r="CO11" s="41">
        <v>65.3</v>
      </c>
      <c r="CP11" s="41">
        <v>51.5</v>
      </c>
      <c r="CQ11" s="41">
        <v>75.5</v>
      </c>
      <c r="CR11" s="41">
        <v>8.6999999999999993</v>
      </c>
      <c r="CS11" s="41">
        <v>6.1</v>
      </c>
      <c r="CT11" s="41">
        <v>5.7</v>
      </c>
      <c r="CU11" s="56">
        <v>45.8</v>
      </c>
      <c r="CV11" s="56">
        <v>44.4</v>
      </c>
      <c r="CW11" s="56">
        <v>43.5</v>
      </c>
      <c r="CX11" s="32" t="str">
        <f t="shared" si="0"/>
        <v>9830265W</v>
      </c>
      <c r="CY11" s="41" t="s">
        <v>306</v>
      </c>
      <c r="CZ11" s="41" t="s">
        <v>306</v>
      </c>
      <c r="DA11" s="41" t="s">
        <v>306</v>
      </c>
      <c r="DD11" s="60"/>
    </row>
    <row r="12" spans="1:108">
      <c r="A12" s="30" t="s">
        <v>145</v>
      </c>
      <c r="B12" s="30" t="s">
        <v>58</v>
      </c>
      <c r="C12" s="30" t="s">
        <v>100</v>
      </c>
      <c r="D12" s="30" t="s">
        <v>115</v>
      </c>
      <c r="E12" s="30" t="s">
        <v>109</v>
      </c>
      <c r="F12" s="31">
        <v>147</v>
      </c>
      <c r="G12" s="31">
        <v>13</v>
      </c>
      <c r="H12" s="31" t="s">
        <v>10</v>
      </c>
      <c r="I12" s="31">
        <v>90</v>
      </c>
      <c r="J12" s="55" t="s">
        <v>10</v>
      </c>
      <c r="K12" s="55" t="s">
        <v>10</v>
      </c>
      <c r="L12" s="31">
        <v>83</v>
      </c>
      <c r="M12" s="55" t="s">
        <v>10</v>
      </c>
      <c r="N12" s="55" t="s">
        <v>10</v>
      </c>
      <c r="O12" s="31">
        <v>77</v>
      </c>
      <c r="P12" s="55" t="s">
        <v>10</v>
      </c>
      <c r="Q12" s="55" t="s">
        <v>10</v>
      </c>
      <c r="R12" s="55">
        <f>VLOOKUP($B12,Extract_R_20_10_25!$B$2:$H$75,2,FALSE)</f>
        <v>79</v>
      </c>
      <c r="S12" s="31">
        <f>VLOOKUP($B12,Extract_R_20_10_25!$B$2:$H$75,3,FALSE)</f>
        <v>0</v>
      </c>
      <c r="T12" s="55">
        <f>VLOOKUP($B12,Extract_R_20_10_25!$B$2:$H$75,4,FALSE)</f>
        <v>0</v>
      </c>
      <c r="U12" s="41">
        <v>177.8</v>
      </c>
      <c r="V12" s="41">
        <v>150.80000000000001</v>
      </c>
      <c r="W12" s="41">
        <v>137.9</v>
      </c>
      <c r="X12" s="41">
        <v>71.400000000000006</v>
      </c>
      <c r="Y12" s="41">
        <v>47.7</v>
      </c>
      <c r="Z12" s="41">
        <v>48</v>
      </c>
      <c r="AA12" s="41">
        <v>9.1</v>
      </c>
      <c r="AB12" s="41">
        <v>14.4</v>
      </c>
      <c r="AC12" s="41">
        <v>15.4</v>
      </c>
      <c r="AD12" s="41">
        <v>79.5</v>
      </c>
      <c r="AE12" s="56">
        <v>93.6</v>
      </c>
      <c r="AF12" s="41">
        <v>94.5</v>
      </c>
      <c r="AG12" s="41">
        <v>5.9</v>
      </c>
      <c r="AH12" s="41">
        <v>12</v>
      </c>
      <c r="AI12" s="41">
        <v>8.8000000000000007</v>
      </c>
      <c r="AJ12" s="57">
        <v>72.2</v>
      </c>
      <c r="AK12" s="57">
        <v>51.2</v>
      </c>
      <c r="AL12" s="57">
        <v>47.8</v>
      </c>
      <c r="AM12" s="57">
        <v>66.7</v>
      </c>
      <c r="AN12" s="57">
        <v>67.099999999999994</v>
      </c>
      <c r="AO12" s="57">
        <v>63.4</v>
      </c>
      <c r="AP12" s="58">
        <v>1.56</v>
      </c>
      <c r="AQ12" s="58">
        <v>1.48</v>
      </c>
      <c r="AR12" s="58">
        <v>1.43</v>
      </c>
      <c r="AS12" s="41">
        <v>19.2</v>
      </c>
      <c r="AT12" s="41">
        <v>20.9</v>
      </c>
      <c r="AU12" s="41">
        <v>21.4</v>
      </c>
      <c r="AV12" s="41">
        <v>30</v>
      </c>
      <c r="AW12" s="56">
        <v>44.8</v>
      </c>
      <c r="AX12" s="59">
        <v>50.5</v>
      </c>
      <c r="AY12" s="41">
        <v>45</v>
      </c>
      <c r="AZ12" s="56">
        <v>30.7</v>
      </c>
      <c r="BA12" s="59">
        <v>29.5</v>
      </c>
      <c r="BB12" s="41">
        <v>15</v>
      </c>
      <c r="BC12" s="56">
        <v>15.7</v>
      </c>
      <c r="BD12" s="32">
        <v>9.5</v>
      </c>
      <c r="BH12" s="41">
        <v>5</v>
      </c>
      <c r="BI12" s="41">
        <v>1.8</v>
      </c>
      <c r="BJ12" s="32">
        <v>1.2</v>
      </c>
      <c r="BK12" s="32">
        <v>36.4</v>
      </c>
      <c r="BL12" s="32">
        <v>83</v>
      </c>
      <c r="BM12" s="32">
        <v>83.3</v>
      </c>
      <c r="BN12" s="32">
        <v>44.4</v>
      </c>
      <c r="BO12" s="32">
        <v>85.5</v>
      </c>
      <c r="BP12" s="32">
        <v>83.3</v>
      </c>
      <c r="BQ12" s="41">
        <v>25</v>
      </c>
      <c r="BR12" s="32">
        <v>77.7</v>
      </c>
      <c r="BS12" s="32">
        <v>75.400000000000006</v>
      </c>
      <c r="BT12" s="32">
        <v>100</v>
      </c>
      <c r="BU12" s="32">
        <v>89.2</v>
      </c>
      <c r="BV12" s="32">
        <v>87.6</v>
      </c>
      <c r="BW12" s="41">
        <v>0</v>
      </c>
      <c r="BX12" s="41">
        <v>-6.5</v>
      </c>
      <c r="BY12" s="41">
        <v>-5.8999999999999897</v>
      </c>
      <c r="BZ12" s="41">
        <v>13.5</v>
      </c>
      <c r="CA12" s="41">
        <v>11</v>
      </c>
      <c r="CB12" s="41">
        <v>11.2</v>
      </c>
      <c r="CC12" s="57" t="s">
        <v>306</v>
      </c>
      <c r="CD12" s="57" t="s">
        <v>306</v>
      </c>
      <c r="CE12" s="57" t="s">
        <v>306</v>
      </c>
      <c r="CF12" s="32">
        <v>14.04</v>
      </c>
      <c r="CG12" s="32">
        <v>14.625</v>
      </c>
      <c r="CH12" s="32">
        <v>14.55</v>
      </c>
      <c r="CI12" s="32"/>
      <c r="CJ12" s="32"/>
      <c r="CK12" s="32"/>
      <c r="CL12" s="55" t="s">
        <v>306</v>
      </c>
      <c r="CM12" s="55" t="s">
        <v>306</v>
      </c>
      <c r="CN12" s="55" t="s">
        <v>306</v>
      </c>
      <c r="CO12" s="41">
        <v>28.1</v>
      </c>
      <c r="CP12" s="41">
        <v>51.5</v>
      </c>
      <c r="CQ12" s="41">
        <v>75.5</v>
      </c>
      <c r="CR12" s="41">
        <v>8.6</v>
      </c>
      <c r="CS12" s="41">
        <v>6.1</v>
      </c>
      <c r="CT12" s="41">
        <v>5.7</v>
      </c>
      <c r="CU12" s="56">
        <v>46.2</v>
      </c>
      <c r="CV12" s="56">
        <v>44.4</v>
      </c>
      <c r="CW12" s="56">
        <v>43.5</v>
      </c>
      <c r="CX12" s="32" t="str">
        <f t="shared" si="0"/>
        <v>9830266X</v>
      </c>
      <c r="CY12" s="41" t="s">
        <v>306</v>
      </c>
      <c r="CZ12" s="41" t="s">
        <v>306</v>
      </c>
      <c r="DA12" s="41" t="s">
        <v>306</v>
      </c>
      <c r="DD12" s="60"/>
    </row>
    <row r="13" spans="1:108">
      <c r="A13" s="30" t="s">
        <v>146</v>
      </c>
      <c r="B13" s="30" t="s">
        <v>59</v>
      </c>
      <c r="C13" s="30" t="s">
        <v>24</v>
      </c>
      <c r="D13" s="30" t="s">
        <v>40</v>
      </c>
      <c r="E13" s="30" t="s">
        <v>108</v>
      </c>
      <c r="F13" s="31">
        <v>853</v>
      </c>
      <c r="G13" s="31" t="s">
        <v>10</v>
      </c>
      <c r="H13" s="31" t="s">
        <v>10</v>
      </c>
      <c r="I13" s="31">
        <v>811</v>
      </c>
      <c r="J13" s="55" t="s">
        <v>10</v>
      </c>
      <c r="K13" s="55" t="s">
        <v>10</v>
      </c>
      <c r="L13" s="31">
        <v>763</v>
      </c>
      <c r="M13" s="55" t="s">
        <v>10</v>
      </c>
      <c r="N13" s="55" t="s">
        <v>10</v>
      </c>
      <c r="O13" s="31">
        <v>731</v>
      </c>
      <c r="P13" s="55" t="s">
        <v>10</v>
      </c>
      <c r="Q13" s="55" t="s">
        <v>10</v>
      </c>
      <c r="R13" s="55">
        <f>VLOOKUP($B13,Extract_R_20_10_25!$B$2:$H$75,2,FALSE)</f>
        <v>723</v>
      </c>
      <c r="S13" s="31">
        <f>VLOOKUP($B13,Extract_R_20_10_25!$B$2:$H$75,3,FALSE)</f>
        <v>0</v>
      </c>
      <c r="T13" s="55">
        <f>VLOOKUP($B13,Extract_R_20_10_25!$B$2:$H$75,4,FALSE)</f>
        <v>0</v>
      </c>
      <c r="U13" s="41">
        <v>98.3</v>
      </c>
      <c r="V13" s="41">
        <v>129.69999999999999</v>
      </c>
      <c r="W13" s="41">
        <v>137.9</v>
      </c>
      <c r="X13" s="41">
        <v>8.1999999999999993</v>
      </c>
      <c r="Y13" s="41">
        <v>48.1</v>
      </c>
      <c r="Z13" s="41">
        <v>48</v>
      </c>
      <c r="AA13" s="41">
        <v>55.4</v>
      </c>
      <c r="AB13" s="41">
        <v>15.7</v>
      </c>
      <c r="AC13" s="41">
        <v>15.4</v>
      </c>
      <c r="AD13" s="41">
        <v>133.5</v>
      </c>
      <c r="AE13" s="56">
        <v>94.7</v>
      </c>
      <c r="AF13" s="41">
        <v>94.5</v>
      </c>
      <c r="AG13" s="41">
        <v>9.1999999999999993</v>
      </c>
      <c r="AH13" s="41">
        <v>8</v>
      </c>
      <c r="AI13" s="41">
        <v>8.8000000000000007</v>
      </c>
      <c r="AJ13" s="57">
        <v>11.4</v>
      </c>
      <c r="AK13" s="57">
        <v>46.7</v>
      </c>
      <c r="AL13" s="57">
        <v>47.8</v>
      </c>
      <c r="AM13" s="57">
        <v>15.3</v>
      </c>
      <c r="AN13" s="57">
        <v>62.3</v>
      </c>
      <c r="AO13" s="57">
        <v>63.4</v>
      </c>
      <c r="AP13" s="58">
        <v>1.21</v>
      </c>
      <c r="AQ13" s="58">
        <v>1.42</v>
      </c>
      <c r="AR13" s="58">
        <v>1.43</v>
      </c>
      <c r="AS13" s="41">
        <v>25.3</v>
      </c>
      <c r="AT13" s="41">
        <v>21.5</v>
      </c>
      <c r="AU13" s="41">
        <v>21.4</v>
      </c>
      <c r="AV13" s="41">
        <v>76.7</v>
      </c>
      <c r="AW13" s="56">
        <v>52.3</v>
      </c>
      <c r="AX13" s="59">
        <v>50.5</v>
      </c>
      <c r="AY13" s="41">
        <v>7.9</v>
      </c>
      <c r="AZ13" s="56">
        <v>29.1</v>
      </c>
      <c r="BA13" s="59">
        <v>29.5</v>
      </c>
      <c r="BB13" s="41">
        <v>0</v>
      </c>
      <c r="BC13" s="56">
        <v>7.7</v>
      </c>
      <c r="BD13" s="32">
        <v>9.5</v>
      </c>
      <c r="BH13" s="41">
        <v>0</v>
      </c>
      <c r="BI13" s="41">
        <v>1</v>
      </c>
      <c r="BJ13" s="32">
        <v>1.2</v>
      </c>
      <c r="BK13" s="32">
        <v>85.8</v>
      </c>
      <c r="BL13" s="32">
        <v>83.4</v>
      </c>
      <c r="BM13" s="32">
        <v>83.3</v>
      </c>
      <c r="BN13" s="32">
        <v>77.8</v>
      </c>
      <c r="BO13" s="32">
        <v>82.7</v>
      </c>
      <c r="BP13" s="32">
        <v>83.3</v>
      </c>
      <c r="BQ13" s="41">
        <v>50</v>
      </c>
      <c r="BR13" s="32">
        <v>74.2</v>
      </c>
      <c r="BS13" s="32">
        <v>75.400000000000006</v>
      </c>
      <c r="BT13" s="32">
        <v>100</v>
      </c>
      <c r="BU13" s="32">
        <v>87.1</v>
      </c>
      <c r="BV13" s="32">
        <v>87.6</v>
      </c>
      <c r="BW13" s="41">
        <v>0</v>
      </c>
      <c r="BX13" s="41">
        <v>-5.8</v>
      </c>
      <c r="BY13" s="41">
        <v>-5.8999999999999897</v>
      </c>
      <c r="BZ13" s="41">
        <v>16.2</v>
      </c>
      <c r="CA13" s="41">
        <v>11.3</v>
      </c>
      <c r="CB13" s="41">
        <v>11.2</v>
      </c>
      <c r="CC13" s="57" t="s">
        <v>306</v>
      </c>
      <c r="CD13" s="57" t="s">
        <v>306</v>
      </c>
      <c r="CE13" s="57" t="s">
        <v>306</v>
      </c>
      <c r="CF13" s="32">
        <v>16.864999999999998</v>
      </c>
      <c r="CG13" s="32">
        <v>14.525</v>
      </c>
      <c r="CH13" s="32">
        <v>14.55</v>
      </c>
      <c r="CI13" s="32"/>
      <c r="CJ13" s="32"/>
      <c r="CK13" s="32"/>
      <c r="CL13" s="41" t="s">
        <v>306</v>
      </c>
      <c r="CM13" s="31" t="s">
        <v>306</v>
      </c>
      <c r="CN13" s="55" t="s">
        <v>306</v>
      </c>
      <c r="CO13" s="41">
        <v>90.3</v>
      </c>
      <c r="CP13" s="41">
        <v>82.5</v>
      </c>
      <c r="CQ13" s="41">
        <v>75.5</v>
      </c>
      <c r="CR13" s="41">
        <v>9.8000000000000007</v>
      </c>
      <c r="CS13" s="41">
        <v>5.5</v>
      </c>
      <c r="CT13" s="41">
        <v>5.7</v>
      </c>
      <c r="CU13" s="56">
        <v>46.2</v>
      </c>
      <c r="CV13" s="56">
        <v>43.2</v>
      </c>
      <c r="CW13" s="56">
        <v>43.5</v>
      </c>
      <c r="CX13" s="32" t="str">
        <f t="shared" si="0"/>
        <v>9830277J</v>
      </c>
      <c r="CY13" s="41" t="s">
        <v>306</v>
      </c>
      <c r="CZ13" s="41" t="s">
        <v>306</v>
      </c>
      <c r="DA13" s="41" t="s">
        <v>306</v>
      </c>
      <c r="DD13" s="60"/>
    </row>
    <row r="14" spans="1:108">
      <c r="A14" s="30" t="s">
        <v>147</v>
      </c>
      <c r="B14" s="30" t="s">
        <v>60</v>
      </c>
      <c r="C14" s="30" t="s">
        <v>24</v>
      </c>
      <c r="D14" s="30" t="s">
        <v>118</v>
      </c>
      <c r="E14" s="30" t="s">
        <v>108</v>
      </c>
      <c r="F14" s="31">
        <v>637</v>
      </c>
      <c r="G14" s="31">
        <v>41</v>
      </c>
      <c r="H14" s="31">
        <v>45</v>
      </c>
      <c r="I14" s="31">
        <v>427</v>
      </c>
      <c r="J14" s="55">
        <v>78</v>
      </c>
      <c r="K14" s="55" t="s">
        <v>10</v>
      </c>
      <c r="L14" s="31">
        <v>448</v>
      </c>
      <c r="M14" s="55">
        <v>67</v>
      </c>
      <c r="N14" s="55" t="s">
        <v>10</v>
      </c>
      <c r="O14" s="31">
        <v>431</v>
      </c>
      <c r="P14" s="55">
        <v>64</v>
      </c>
      <c r="Q14" s="55" t="s">
        <v>10</v>
      </c>
      <c r="R14" s="55">
        <f>VLOOKUP($B14,Extract_R_20_10_25!$B$2:$H$75,2,FALSE)</f>
        <v>433</v>
      </c>
      <c r="S14" s="31">
        <f>VLOOKUP($B14,Extract_R_20_10_25!$B$2:$H$75,3,FALSE)</f>
        <v>63</v>
      </c>
      <c r="T14" s="55">
        <f>VLOOKUP($B14,Extract_R_20_10_25!$B$2:$H$75,4,FALSE)</f>
        <v>0</v>
      </c>
      <c r="U14" s="41">
        <v>127.2</v>
      </c>
      <c r="V14" s="41">
        <v>129.69999999999999</v>
      </c>
      <c r="W14" s="41">
        <v>137.9</v>
      </c>
      <c r="X14" s="41">
        <v>54.2</v>
      </c>
      <c r="Y14" s="41">
        <v>48.1</v>
      </c>
      <c r="Z14" s="41">
        <v>48</v>
      </c>
      <c r="AA14" s="41">
        <v>7.7</v>
      </c>
      <c r="AB14" s="41">
        <v>15.7</v>
      </c>
      <c r="AC14" s="41">
        <v>15.4</v>
      </c>
      <c r="AD14" s="41">
        <v>87.6</v>
      </c>
      <c r="AE14" s="56">
        <v>94.7</v>
      </c>
      <c r="AF14" s="41">
        <v>94.5</v>
      </c>
      <c r="AG14" s="41">
        <v>6.5</v>
      </c>
      <c r="AH14" s="41">
        <v>8</v>
      </c>
      <c r="AI14" s="41">
        <v>8.8000000000000007</v>
      </c>
      <c r="AJ14" s="57">
        <v>71.7</v>
      </c>
      <c r="AK14" s="57">
        <v>46.7</v>
      </c>
      <c r="AL14" s="57">
        <v>47.8</v>
      </c>
      <c r="AM14" s="57">
        <v>85.5</v>
      </c>
      <c r="AN14" s="57">
        <v>62.3</v>
      </c>
      <c r="AO14" s="57">
        <v>63.4</v>
      </c>
      <c r="AP14" s="58">
        <v>1.37</v>
      </c>
      <c r="AQ14" s="58">
        <v>1.42</v>
      </c>
      <c r="AR14" s="58">
        <v>1.43</v>
      </c>
      <c r="AS14" s="41">
        <v>21.9</v>
      </c>
      <c r="AT14" s="41">
        <v>21.5</v>
      </c>
      <c r="AU14" s="41">
        <v>21.4</v>
      </c>
      <c r="AV14" s="41">
        <v>39.299999999999997</v>
      </c>
      <c r="AW14" s="56">
        <v>52.3</v>
      </c>
      <c r="AX14" s="59">
        <v>50.5</v>
      </c>
      <c r="AY14" s="41">
        <v>21.5</v>
      </c>
      <c r="AZ14" s="56">
        <v>29.1</v>
      </c>
      <c r="BA14" s="59">
        <v>29.5</v>
      </c>
      <c r="BB14" s="41">
        <v>12.1</v>
      </c>
      <c r="BC14" s="56">
        <v>7.7</v>
      </c>
      <c r="BD14" s="32">
        <v>9.5</v>
      </c>
      <c r="BH14" s="41">
        <v>1.9</v>
      </c>
      <c r="BI14" s="41">
        <v>1</v>
      </c>
      <c r="BJ14" s="32">
        <v>1.2</v>
      </c>
      <c r="BK14" s="32">
        <v>78.599999999999994</v>
      </c>
      <c r="BL14" s="32">
        <v>83.4</v>
      </c>
      <c r="BM14" s="32">
        <v>83.3</v>
      </c>
      <c r="BN14" s="32">
        <v>95.8</v>
      </c>
      <c r="BO14" s="32">
        <v>82.7</v>
      </c>
      <c r="BP14" s="32">
        <v>83.3</v>
      </c>
      <c r="BQ14" s="41">
        <v>91.3</v>
      </c>
      <c r="BR14" s="32">
        <v>74.2</v>
      </c>
      <c r="BS14" s="32">
        <v>75.400000000000006</v>
      </c>
      <c r="BT14" s="32">
        <v>94.9</v>
      </c>
      <c r="BU14" s="32">
        <v>87.1</v>
      </c>
      <c r="BV14" s="32">
        <v>87.6</v>
      </c>
      <c r="BW14" s="41">
        <v>-8.9000000000000092</v>
      </c>
      <c r="BX14" s="41">
        <v>-5.8</v>
      </c>
      <c r="BY14" s="41">
        <v>-5.8999999999999897</v>
      </c>
      <c r="BZ14" s="41">
        <v>11.7</v>
      </c>
      <c r="CA14" s="41">
        <v>11.3</v>
      </c>
      <c r="CB14" s="41">
        <v>11.2</v>
      </c>
      <c r="CC14" s="57" t="s">
        <v>306</v>
      </c>
      <c r="CD14" s="57" t="s">
        <v>306</v>
      </c>
      <c r="CE14" s="57" t="s">
        <v>306</v>
      </c>
      <c r="CF14" s="32">
        <v>14.875</v>
      </c>
      <c r="CG14" s="32">
        <v>14.525</v>
      </c>
      <c r="CH14" s="32">
        <v>14.55</v>
      </c>
      <c r="CI14" s="32"/>
      <c r="CJ14" s="32"/>
      <c r="CK14" s="32"/>
      <c r="CL14" s="41" t="s">
        <v>306</v>
      </c>
      <c r="CM14" s="31" t="s">
        <v>306</v>
      </c>
      <c r="CN14" s="55" t="s">
        <v>306</v>
      </c>
      <c r="CO14" s="41">
        <v>84.5</v>
      </c>
      <c r="CP14" s="41">
        <v>82.5</v>
      </c>
      <c r="CQ14" s="41">
        <v>75.5</v>
      </c>
      <c r="CR14" s="41">
        <v>5.6</v>
      </c>
      <c r="CS14" s="41">
        <v>5.5</v>
      </c>
      <c r="CT14" s="41">
        <v>5.7</v>
      </c>
      <c r="CU14" s="56">
        <v>38.5</v>
      </c>
      <c r="CV14" s="56">
        <v>43.2</v>
      </c>
      <c r="CW14" s="56">
        <v>43.5</v>
      </c>
      <c r="CX14" s="32" t="str">
        <f t="shared" si="0"/>
        <v>9830278K</v>
      </c>
      <c r="CY14" s="41" t="s">
        <v>306</v>
      </c>
      <c r="CZ14" s="41" t="s">
        <v>306</v>
      </c>
      <c r="DA14" s="41" t="s">
        <v>306</v>
      </c>
      <c r="DD14" s="60"/>
    </row>
    <row r="15" spans="1:108">
      <c r="A15" s="30" t="s">
        <v>148</v>
      </c>
      <c r="B15" s="30" t="s">
        <v>61</v>
      </c>
      <c r="C15" s="30" t="s">
        <v>100</v>
      </c>
      <c r="D15" s="30" t="s">
        <v>123</v>
      </c>
      <c r="E15" s="30" t="s">
        <v>109</v>
      </c>
      <c r="F15" s="31">
        <v>397</v>
      </c>
      <c r="G15" s="31" t="s">
        <v>10</v>
      </c>
      <c r="H15" s="31" t="s">
        <v>10</v>
      </c>
      <c r="I15" s="31">
        <v>317</v>
      </c>
      <c r="J15" s="55" t="s">
        <v>10</v>
      </c>
      <c r="K15" s="55" t="s">
        <v>10</v>
      </c>
      <c r="L15" s="31">
        <v>308</v>
      </c>
      <c r="M15" s="55" t="s">
        <v>10</v>
      </c>
      <c r="N15" s="55" t="s">
        <v>10</v>
      </c>
      <c r="O15" s="31">
        <v>326</v>
      </c>
      <c r="P15" s="55" t="s">
        <v>10</v>
      </c>
      <c r="Q15" s="55" t="s">
        <v>10</v>
      </c>
      <c r="R15" s="55">
        <f>VLOOKUP($B15,Extract_R_20_10_25!$B$2:$H$75,2,FALSE)</f>
        <v>328</v>
      </c>
      <c r="S15" s="31">
        <f>VLOOKUP($B15,Extract_R_20_10_25!$B$2:$H$75,3,FALSE)</f>
        <v>0</v>
      </c>
      <c r="T15" s="55">
        <f>VLOOKUP($B15,Extract_R_20_10_25!$B$2:$H$75,4,FALSE)</f>
        <v>0</v>
      </c>
      <c r="U15" s="41">
        <v>153.4</v>
      </c>
      <c r="V15" s="41">
        <v>150.80000000000001</v>
      </c>
      <c r="W15" s="41">
        <v>137.9</v>
      </c>
      <c r="X15" s="41">
        <v>39</v>
      </c>
      <c r="Y15" s="41">
        <v>47.7</v>
      </c>
      <c r="Z15" s="41">
        <v>48</v>
      </c>
      <c r="AA15" s="41">
        <v>12</v>
      </c>
      <c r="AB15" s="41">
        <v>14.4</v>
      </c>
      <c r="AC15" s="41">
        <v>15.4</v>
      </c>
      <c r="AD15" s="41">
        <v>95.1</v>
      </c>
      <c r="AE15" s="56">
        <v>93.6</v>
      </c>
      <c r="AF15" s="41">
        <v>94.5</v>
      </c>
      <c r="AG15" s="41">
        <v>14.1</v>
      </c>
      <c r="AH15" s="41">
        <v>12</v>
      </c>
      <c r="AI15" s="41">
        <v>8.8000000000000007</v>
      </c>
      <c r="AJ15" s="57">
        <v>55.3</v>
      </c>
      <c r="AK15" s="57">
        <v>51.2</v>
      </c>
      <c r="AL15" s="57">
        <v>47.8</v>
      </c>
      <c r="AM15" s="57">
        <v>62.5</v>
      </c>
      <c r="AN15" s="57">
        <v>67.099999999999994</v>
      </c>
      <c r="AO15" s="57">
        <v>63.4</v>
      </c>
      <c r="AP15" s="58">
        <v>1.39</v>
      </c>
      <c r="AQ15" s="58">
        <v>1.48</v>
      </c>
      <c r="AR15" s="58">
        <v>1.43</v>
      </c>
      <c r="AS15" s="41">
        <v>21.7</v>
      </c>
      <c r="AT15" s="41">
        <v>20.9</v>
      </c>
      <c r="AU15" s="41">
        <v>21.4</v>
      </c>
      <c r="AV15" s="41">
        <v>63.3</v>
      </c>
      <c r="AW15" s="56">
        <v>44.8</v>
      </c>
      <c r="AX15" s="59">
        <v>50.5</v>
      </c>
      <c r="AY15" s="41">
        <v>20.3</v>
      </c>
      <c r="AZ15" s="56">
        <v>30.7</v>
      </c>
      <c r="BA15" s="59">
        <v>29.5</v>
      </c>
      <c r="BB15" s="41">
        <v>10.1</v>
      </c>
      <c r="BC15" s="56">
        <v>15.7</v>
      </c>
      <c r="BD15" s="32">
        <v>9.5</v>
      </c>
      <c r="BH15" s="41">
        <v>2.5</v>
      </c>
      <c r="BI15" s="41">
        <v>1.8</v>
      </c>
      <c r="BJ15" s="32">
        <v>1.2</v>
      </c>
      <c r="BK15" s="32">
        <v>95.8</v>
      </c>
      <c r="BL15" s="32">
        <v>83</v>
      </c>
      <c r="BM15" s="32">
        <v>83.3</v>
      </c>
      <c r="BN15" s="32">
        <v>95.8</v>
      </c>
      <c r="BO15" s="32">
        <v>85.5</v>
      </c>
      <c r="BP15" s="32">
        <v>83.3</v>
      </c>
      <c r="BQ15" s="41">
        <v>75</v>
      </c>
      <c r="BR15" s="32">
        <v>77.7</v>
      </c>
      <c r="BS15" s="32">
        <v>75.400000000000006</v>
      </c>
      <c r="BT15" s="32">
        <v>93.9</v>
      </c>
      <c r="BU15" s="32">
        <v>89.2</v>
      </c>
      <c r="BV15" s="32">
        <v>87.6</v>
      </c>
      <c r="BW15" s="41">
        <v>-7.9000000000000101</v>
      </c>
      <c r="BX15" s="41">
        <v>-6.5</v>
      </c>
      <c r="BY15" s="41">
        <v>-5.8999999999999897</v>
      </c>
      <c r="BZ15" s="41">
        <v>11.7</v>
      </c>
      <c r="CA15" s="41">
        <v>11</v>
      </c>
      <c r="CB15" s="41">
        <v>11.2</v>
      </c>
      <c r="CC15" s="57" t="s">
        <v>306</v>
      </c>
      <c r="CD15" s="57" t="s">
        <v>306</v>
      </c>
      <c r="CE15" s="57" t="s">
        <v>306</v>
      </c>
      <c r="CF15" s="32">
        <v>14.925000000000001</v>
      </c>
      <c r="CG15" s="32">
        <v>14.625</v>
      </c>
      <c r="CH15" s="32">
        <v>14.55</v>
      </c>
      <c r="CI15" s="32"/>
      <c r="CJ15" s="32"/>
      <c r="CK15" s="32"/>
      <c r="CL15" s="57" t="s">
        <v>306</v>
      </c>
      <c r="CM15" s="55" t="s">
        <v>306</v>
      </c>
      <c r="CN15" s="55" t="s">
        <v>306</v>
      </c>
      <c r="CO15" s="41">
        <v>68.400000000000006</v>
      </c>
      <c r="CP15" s="41">
        <v>51.5</v>
      </c>
      <c r="CQ15" s="41">
        <v>75.5</v>
      </c>
      <c r="CR15" s="41">
        <v>7.9</v>
      </c>
      <c r="CS15" s="41">
        <v>6.1</v>
      </c>
      <c r="CT15" s="41">
        <v>5.7</v>
      </c>
      <c r="CU15" s="56">
        <v>50</v>
      </c>
      <c r="CV15" s="56">
        <v>44.4</v>
      </c>
      <c r="CW15" s="56">
        <v>43.5</v>
      </c>
      <c r="CX15" s="32" t="str">
        <f t="shared" si="0"/>
        <v>9830295D</v>
      </c>
      <c r="CY15" s="41" t="s">
        <v>306</v>
      </c>
      <c r="CZ15" s="41" t="s">
        <v>306</v>
      </c>
      <c r="DA15" s="41" t="s">
        <v>306</v>
      </c>
      <c r="DD15" s="60"/>
    </row>
    <row r="16" spans="1:108">
      <c r="A16" s="30" t="s">
        <v>149</v>
      </c>
      <c r="B16" s="30" t="s">
        <v>62</v>
      </c>
      <c r="C16" s="30" t="s">
        <v>100</v>
      </c>
      <c r="D16" s="30" t="s">
        <v>117</v>
      </c>
      <c r="E16" s="30" t="s">
        <v>109</v>
      </c>
      <c r="F16" s="31">
        <v>225</v>
      </c>
      <c r="G16" s="31">
        <v>46</v>
      </c>
      <c r="H16" s="31" t="s">
        <v>10</v>
      </c>
      <c r="I16" s="31">
        <v>95</v>
      </c>
      <c r="J16" s="55">
        <v>37</v>
      </c>
      <c r="K16" s="55" t="s">
        <v>10</v>
      </c>
      <c r="L16" s="31">
        <v>96</v>
      </c>
      <c r="M16" s="55">
        <v>28</v>
      </c>
      <c r="N16" s="55" t="s">
        <v>10</v>
      </c>
      <c r="O16" s="31">
        <v>110</v>
      </c>
      <c r="P16" s="55">
        <v>27</v>
      </c>
      <c r="Q16" s="55" t="s">
        <v>10</v>
      </c>
      <c r="R16" s="55">
        <f>VLOOKUP($B16,Extract_R_20_10_25!$B$2:$H$75,2,FALSE)</f>
        <v>112</v>
      </c>
      <c r="S16" s="31">
        <f>VLOOKUP($B16,Extract_R_20_10_25!$B$2:$H$75,3,FALSE)</f>
        <v>30</v>
      </c>
      <c r="T16" s="55">
        <f>VLOOKUP($B16,Extract_R_20_10_25!$B$2:$H$75,4,FALSE)</f>
        <v>0</v>
      </c>
      <c r="U16" s="41">
        <v>179.9</v>
      </c>
      <c r="V16" s="41">
        <v>150.80000000000001</v>
      </c>
      <c r="W16" s="41">
        <v>137.9</v>
      </c>
      <c r="X16" s="41">
        <v>70.8</v>
      </c>
      <c r="Y16" s="41">
        <v>47.7</v>
      </c>
      <c r="Z16" s="41">
        <v>48</v>
      </c>
      <c r="AA16" s="41">
        <v>5.8</v>
      </c>
      <c r="AB16" s="41">
        <v>14.4</v>
      </c>
      <c r="AC16" s="41">
        <v>15.4</v>
      </c>
      <c r="AD16" s="41">
        <v>76.5</v>
      </c>
      <c r="AE16" s="56">
        <v>93.6</v>
      </c>
      <c r="AF16" s="41">
        <v>94.5</v>
      </c>
      <c r="AG16" s="41">
        <v>6.7</v>
      </c>
      <c r="AH16" s="41">
        <v>12</v>
      </c>
      <c r="AI16" s="41">
        <v>8.8000000000000007</v>
      </c>
      <c r="AJ16" s="57">
        <v>74.3</v>
      </c>
      <c r="AK16" s="57">
        <v>51.2</v>
      </c>
      <c r="AL16" s="57">
        <v>47.8</v>
      </c>
      <c r="AM16" s="57">
        <v>88.6</v>
      </c>
      <c r="AN16" s="57">
        <v>67.099999999999994</v>
      </c>
      <c r="AO16" s="57">
        <v>63.4</v>
      </c>
      <c r="AP16" s="58">
        <v>1.51</v>
      </c>
      <c r="AQ16" s="58">
        <v>1.48</v>
      </c>
      <c r="AR16" s="58">
        <v>1.43</v>
      </c>
      <c r="AS16" s="41">
        <v>22</v>
      </c>
      <c r="AT16" s="41">
        <v>20.9</v>
      </c>
      <c r="AU16" s="41">
        <v>21.4</v>
      </c>
      <c r="AV16" s="41">
        <v>36.799999999999997</v>
      </c>
      <c r="AW16" s="56">
        <v>44.8</v>
      </c>
      <c r="AX16" s="59">
        <v>50.5</v>
      </c>
      <c r="AY16" s="41">
        <v>26.3</v>
      </c>
      <c r="AZ16" s="56">
        <v>30.7</v>
      </c>
      <c r="BA16" s="59">
        <v>29.5</v>
      </c>
      <c r="BB16" s="41">
        <v>31.6</v>
      </c>
      <c r="BC16" s="56">
        <v>15.7</v>
      </c>
      <c r="BD16" s="32">
        <v>9.5</v>
      </c>
      <c r="BH16" s="41">
        <v>0</v>
      </c>
      <c r="BI16" s="41">
        <v>1.8</v>
      </c>
      <c r="BJ16" s="32">
        <v>1.2</v>
      </c>
      <c r="BK16" s="32">
        <v>66.7</v>
      </c>
      <c r="BL16" s="32">
        <v>83</v>
      </c>
      <c r="BM16" s="32">
        <v>83.3</v>
      </c>
      <c r="BN16" s="32">
        <v>100</v>
      </c>
      <c r="BO16" s="32">
        <v>85.5</v>
      </c>
      <c r="BP16" s="32">
        <v>83.3</v>
      </c>
      <c r="BQ16" s="41">
        <v>90.9</v>
      </c>
      <c r="BR16" s="32">
        <v>77.7</v>
      </c>
      <c r="BS16" s="32">
        <v>75.400000000000006</v>
      </c>
      <c r="BT16" s="32">
        <v>73.7</v>
      </c>
      <c r="BU16" s="32">
        <v>89.2</v>
      </c>
      <c r="BV16" s="32">
        <v>87.6</v>
      </c>
      <c r="BW16" s="41">
        <v>-8.5999999999999908</v>
      </c>
      <c r="BX16" s="41">
        <v>-6.5</v>
      </c>
      <c r="BY16" s="41">
        <v>-5.8999999999999897</v>
      </c>
      <c r="BZ16" s="41">
        <v>8</v>
      </c>
      <c r="CA16" s="41">
        <v>11</v>
      </c>
      <c r="CB16" s="41">
        <v>11.2</v>
      </c>
      <c r="CC16" s="57" t="s">
        <v>306</v>
      </c>
      <c r="CD16" s="57" t="s">
        <v>306</v>
      </c>
      <c r="CE16" s="57" t="s">
        <v>306</v>
      </c>
      <c r="CF16" s="32">
        <v>14.08</v>
      </c>
      <c r="CG16" s="32">
        <v>14.625</v>
      </c>
      <c r="CH16" s="32">
        <v>14.55</v>
      </c>
      <c r="CI16" s="32"/>
      <c r="CJ16" s="32"/>
      <c r="CK16" s="32"/>
      <c r="CL16" s="57" t="s">
        <v>306</v>
      </c>
      <c r="CM16" s="55" t="s">
        <v>306</v>
      </c>
      <c r="CN16" s="55" t="s">
        <v>306</v>
      </c>
      <c r="CO16" s="41">
        <v>39.1</v>
      </c>
      <c r="CP16" s="41">
        <v>51.5</v>
      </c>
      <c r="CQ16" s="41">
        <v>75.5</v>
      </c>
      <c r="CR16" s="41">
        <v>5.8</v>
      </c>
      <c r="CS16" s="41">
        <v>6.1</v>
      </c>
      <c r="CT16" s="41">
        <v>5.7</v>
      </c>
      <c r="CU16" s="56">
        <v>40.9</v>
      </c>
      <c r="CV16" s="56">
        <v>44.4</v>
      </c>
      <c r="CW16" s="56">
        <v>43.5</v>
      </c>
      <c r="CX16" s="32" t="str">
        <f t="shared" si="0"/>
        <v>9830297F</v>
      </c>
      <c r="CY16" s="41" t="s">
        <v>306</v>
      </c>
      <c r="CZ16" s="41" t="s">
        <v>306</v>
      </c>
      <c r="DA16" s="41" t="s">
        <v>306</v>
      </c>
      <c r="DD16" s="60"/>
    </row>
    <row r="17" spans="1:108">
      <c r="A17" s="30" t="s">
        <v>150</v>
      </c>
      <c r="B17" s="30" t="s">
        <v>63</v>
      </c>
      <c r="C17" s="30" t="s">
        <v>100</v>
      </c>
      <c r="D17" s="30" t="s">
        <v>119</v>
      </c>
      <c r="E17" s="30" t="s">
        <v>109</v>
      </c>
      <c r="F17" s="31">
        <v>92</v>
      </c>
      <c r="G17" s="31" t="s">
        <v>10</v>
      </c>
      <c r="H17" s="31" t="s">
        <v>10</v>
      </c>
      <c r="I17" s="31">
        <v>72</v>
      </c>
      <c r="J17" s="55" t="s">
        <v>10</v>
      </c>
      <c r="K17" s="55" t="s">
        <v>10</v>
      </c>
      <c r="L17" s="31">
        <v>69</v>
      </c>
      <c r="M17" s="55" t="s">
        <v>10</v>
      </c>
      <c r="N17" s="55" t="s">
        <v>10</v>
      </c>
      <c r="O17" s="31">
        <v>67</v>
      </c>
      <c r="P17" s="55" t="s">
        <v>10</v>
      </c>
      <c r="Q17" s="55" t="s">
        <v>10</v>
      </c>
      <c r="R17" s="55">
        <f>VLOOKUP($B17,Extract_R_20_10_25!$B$2:$H$75,2,FALSE)</f>
        <v>69</v>
      </c>
      <c r="S17" s="31">
        <f>VLOOKUP($B17,Extract_R_20_10_25!$B$2:$H$75,3,FALSE)</f>
        <v>0</v>
      </c>
      <c r="T17" s="55">
        <f>VLOOKUP($B17,Extract_R_20_10_25!$B$2:$H$75,4,FALSE)</f>
        <v>0</v>
      </c>
      <c r="U17" s="41">
        <v>170.5</v>
      </c>
      <c r="V17" s="41">
        <v>150.80000000000001</v>
      </c>
      <c r="W17" s="41">
        <v>137.9</v>
      </c>
      <c r="X17" s="41">
        <v>97</v>
      </c>
      <c r="Y17" s="41">
        <v>47.7</v>
      </c>
      <c r="Z17" s="41">
        <v>48</v>
      </c>
      <c r="AA17" s="41">
        <v>1.5</v>
      </c>
      <c r="AB17" s="41">
        <v>14.4</v>
      </c>
      <c r="AC17" s="41">
        <v>15.4</v>
      </c>
      <c r="AD17" s="41">
        <v>66.2</v>
      </c>
      <c r="AE17" s="56">
        <v>93.6</v>
      </c>
      <c r="AF17" s="41">
        <v>94.5</v>
      </c>
      <c r="AG17" s="41">
        <v>15.8</v>
      </c>
      <c r="AH17" s="41">
        <v>12</v>
      </c>
      <c r="AI17" s="41">
        <v>8.8000000000000007</v>
      </c>
      <c r="AJ17" s="57" t="e">
        <v>#N/A</v>
      </c>
      <c r="AK17" s="57" t="e">
        <v>#N/A</v>
      </c>
      <c r="AL17" s="57" t="e">
        <v>#N/A</v>
      </c>
      <c r="AM17" s="57" t="e">
        <v>#N/A</v>
      </c>
      <c r="AN17" s="57" t="e">
        <v>#N/A</v>
      </c>
      <c r="AO17" s="57" t="e">
        <v>#N/A</v>
      </c>
      <c r="AP17" s="58">
        <v>1.8</v>
      </c>
      <c r="AQ17" s="58">
        <v>1.48</v>
      </c>
      <c r="AR17" s="58">
        <v>1.43</v>
      </c>
      <c r="AS17" s="41">
        <v>16.8</v>
      </c>
      <c r="AT17" s="41">
        <v>20.9</v>
      </c>
      <c r="AU17" s="41">
        <v>21.4</v>
      </c>
      <c r="AV17" s="41">
        <v>36.799999999999997</v>
      </c>
      <c r="AW17" s="56">
        <v>44.8</v>
      </c>
      <c r="AX17" s="59">
        <v>50.5</v>
      </c>
      <c r="AY17" s="41">
        <v>42.1</v>
      </c>
      <c r="AZ17" s="56">
        <v>30.7</v>
      </c>
      <c r="BA17" s="59">
        <v>29.5</v>
      </c>
      <c r="BB17" s="41">
        <v>21.1</v>
      </c>
      <c r="BC17" s="56">
        <v>15.7</v>
      </c>
      <c r="BD17" s="32">
        <v>9.5</v>
      </c>
      <c r="BH17" s="41">
        <v>0</v>
      </c>
      <c r="BI17" s="41">
        <v>1.8</v>
      </c>
      <c r="BJ17" s="32">
        <v>1.2</v>
      </c>
      <c r="BK17" s="32">
        <v>75</v>
      </c>
      <c r="BL17" s="32">
        <v>83</v>
      </c>
      <c r="BM17" s="32">
        <v>83.3</v>
      </c>
      <c r="BN17" s="32">
        <v>80</v>
      </c>
      <c r="BO17" s="32">
        <v>85.5</v>
      </c>
      <c r="BP17" s="32">
        <v>83.3</v>
      </c>
      <c r="BQ17" s="41">
        <v>100</v>
      </c>
      <c r="BR17" s="32">
        <v>77.7</v>
      </c>
      <c r="BS17" s="32">
        <v>75.400000000000006</v>
      </c>
      <c r="BT17" s="32">
        <v>100</v>
      </c>
      <c r="BU17" s="32">
        <v>89.2</v>
      </c>
      <c r="BV17" s="32">
        <v>87.6</v>
      </c>
      <c r="BW17" s="41">
        <v>0</v>
      </c>
      <c r="BX17" s="41">
        <v>-6.5</v>
      </c>
      <c r="BY17" s="41">
        <v>-5.8999999999999897</v>
      </c>
      <c r="BZ17" s="41">
        <v>11.8</v>
      </c>
      <c r="CA17" s="41">
        <v>11</v>
      </c>
      <c r="CB17" s="41">
        <v>11.2</v>
      </c>
      <c r="CC17" s="57" t="s">
        <v>306</v>
      </c>
      <c r="CD17" s="57" t="s">
        <v>306</v>
      </c>
      <c r="CE17" s="57" t="s">
        <v>306</v>
      </c>
      <c r="CF17" s="32">
        <v>15.455</v>
      </c>
      <c r="CG17" s="32">
        <v>14.625</v>
      </c>
      <c r="CH17" s="32">
        <v>14.55</v>
      </c>
      <c r="CI17" s="32"/>
      <c r="CJ17" s="32"/>
      <c r="CK17" s="32"/>
      <c r="CL17" s="57" t="s">
        <v>306</v>
      </c>
      <c r="CM17" s="55" t="s">
        <v>306</v>
      </c>
      <c r="CN17" s="55" t="s">
        <v>306</v>
      </c>
      <c r="CO17" s="41">
        <v>32.799999999999997</v>
      </c>
      <c r="CP17" s="41">
        <v>51.5</v>
      </c>
      <c r="CQ17" s="41">
        <v>75.5</v>
      </c>
      <c r="CR17" s="41">
        <v>2.6</v>
      </c>
      <c r="CS17" s="41">
        <v>6.1</v>
      </c>
      <c r="CT17" s="41">
        <v>5.7</v>
      </c>
      <c r="CU17" s="56">
        <v>34.799999999999997</v>
      </c>
      <c r="CV17" s="56">
        <v>44.4</v>
      </c>
      <c r="CW17" s="56">
        <v>43.5</v>
      </c>
      <c r="CX17" s="32" t="str">
        <f t="shared" si="0"/>
        <v>9830298G</v>
      </c>
      <c r="CY17" s="41" t="s">
        <v>306</v>
      </c>
      <c r="CZ17" s="41" t="s">
        <v>306</v>
      </c>
      <c r="DA17" s="41" t="s">
        <v>306</v>
      </c>
      <c r="DD17" s="60"/>
    </row>
    <row r="18" spans="1:108">
      <c r="A18" s="30" t="s">
        <v>151</v>
      </c>
      <c r="B18" s="30" t="s">
        <v>64</v>
      </c>
      <c r="C18" s="30" t="s">
        <v>100</v>
      </c>
      <c r="D18" s="30" t="s">
        <v>120</v>
      </c>
      <c r="E18" s="30" t="s">
        <v>109</v>
      </c>
      <c r="F18" s="31">
        <v>143</v>
      </c>
      <c r="G18" s="31" t="s">
        <v>10</v>
      </c>
      <c r="H18" s="31" t="s">
        <v>10</v>
      </c>
      <c r="I18" s="31">
        <v>43</v>
      </c>
      <c r="J18" s="55" t="s">
        <v>10</v>
      </c>
      <c r="K18" s="55" t="s">
        <v>10</v>
      </c>
      <c r="L18" s="31">
        <v>48</v>
      </c>
      <c r="M18" s="55" t="s">
        <v>10</v>
      </c>
      <c r="N18" s="55" t="s">
        <v>10</v>
      </c>
      <c r="O18" s="31">
        <v>46</v>
      </c>
      <c r="P18" s="55" t="s">
        <v>10</v>
      </c>
      <c r="Q18" s="55" t="s">
        <v>10</v>
      </c>
      <c r="R18" s="55">
        <f>VLOOKUP($B18,Extract_R_20_10_25!$B$2:$H$75,2,FALSE)</f>
        <v>44</v>
      </c>
      <c r="S18" s="31">
        <f>VLOOKUP($B18,Extract_R_20_10_25!$B$2:$H$75,3,FALSE)</f>
        <v>0</v>
      </c>
      <c r="T18" s="55">
        <f>VLOOKUP($B18,Extract_R_20_10_25!$B$2:$H$75,4,FALSE)</f>
        <v>0</v>
      </c>
      <c r="U18" s="41">
        <v>151.1</v>
      </c>
      <c r="V18" s="41">
        <v>150.80000000000001</v>
      </c>
      <c r="W18" s="41">
        <v>137.9</v>
      </c>
      <c r="X18" s="41">
        <v>80.400000000000006</v>
      </c>
      <c r="Y18" s="41">
        <v>47.7</v>
      </c>
      <c r="Z18" s="41">
        <v>48</v>
      </c>
      <c r="AA18" s="41">
        <v>6.5</v>
      </c>
      <c r="AB18" s="41">
        <v>14.4</v>
      </c>
      <c r="AC18" s="41">
        <v>15.4</v>
      </c>
      <c r="AD18" s="41">
        <v>76.7</v>
      </c>
      <c r="AE18" s="56">
        <v>93.6</v>
      </c>
      <c r="AF18" s="41">
        <v>94.5</v>
      </c>
      <c r="AG18" s="41">
        <v>0</v>
      </c>
      <c r="AH18" s="41">
        <v>12</v>
      </c>
      <c r="AI18" s="41">
        <v>8.8000000000000007</v>
      </c>
      <c r="AJ18" s="57">
        <v>50</v>
      </c>
      <c r="AK18" s="57">
        <v>51.2</v>
      </c>
      <c r="AL18" s="57">
        <v>47.8</v>
      </c>
      <c r="AM18" s="57">
        <v>80</v>
      </c>
      <c r="AN18" s="57">
        <v>67.099999999999994</v>
      </c>
      <c r="AO18" s="57">
        <v>63.4</v>
      </c>
      <c r="AP18" s="58">
        <v>1.39</v>
      </c>
      <c r="AQ18" s="58">
        <v>1.48</v>
      </c>
      <c r="AR18" s="58">
        <v>1.43</v>
      </c>
      <c r="AS18" s="41">
        <v>23</v>
      </c>
      <c r="AT18" s="41">
        <v>20.9</v>
      </c>
      <c r="AU18" s="41">
        <v>21.4</v>
      </c>
      <c r="AV18" s="41">
        <v>6.7</v>
      </c>
      <c r="AW18" s="56">
        <v>44.8</v>
      </c>
      <c r="AX18" s="59">
        <v>50.5</v>
      </c>
      <c r="AY18" s="41">
        <v>40</v>
      </c>
      <c r="AZ18" s="56">
        <v>30.7</v>
      </c>
      <c r="BA18" s="59">
        <v>29.5</v>
      </c>
      <c r="BB18" s="41">
        <v>33.299999999999997</v>
      </c>
      <c r="BC18" s="56">
        <v>15.7</v>
      </c>
      <c r="BD18" s="32">
        <v>9.5</v>
      </c>
      <c r="BH18" s="41">
        <v>6.7</v>
      </c>
      <c r="BI18" s="41">
        <v>1.8</v>
      </c>
      <c r="BJ18" s="32">
        <v>1.2</v>
      </c>
      <c r="BK18" s="32">
        <v>100</v>
      </c>
      <c r="BL18" s="32">
        <v>83</v>
      </c>
      <c r="BM18" s="32">
        <v>83.3</v>
      </c>
      <c r="BN18" s="32">
        <v>33.299999999999997</v>
      </c>
      <c r="BO18" s="32">
        <v>85.5</v>
      </c>
      <c r="BP18" s="32">
        <v>83.3</v>
      </c>
      <c r="BQ18" s="41">
        <v>100</v>
      </c>
      <c r="BR18" s="32">
        <v>77.7</v>
      </c>
      <c r="BS18" s="32">
        <v>75.400000000000006</v>
      </c>
      <c r="BT18" s="32">
        <v>85.7</v>
      </c>
      <c r="BU18" s="32">
        <v>89.2</v>
      </c>
      <c r="BV18" s="32">
        <v>87.6</v>
      </c>
      <c r="BW18" s="41">
        <v>-16.7</v>
      </c>
      <c r="BX18" s="41">
        <v>-6.5</v>
      </c>
      <c r="BY18" s="41">
        <v>-5.8999999999999897</v>
      </c>
      <c r="BZ18" s="41">
        <v>8.1</v>
      </c>
      <c r="CA18" s="41">
        <v>11</v>
      </c>
      <c r="CB18" s="41">
        <v>11.2</v>
      </c>
      <c r="CC18" s="57" t="s">
        <v>306</v>
      </c>
      <c r="CD18" s="57" t="s">
        <v>306</v>
      </c>
      <c r="CE18" s="57" t="s">
        <v>306</v>
      </c>
      <c r="CF18" s="32">
        <v>14.305</v>
      </c>
      <c r="CG18" s="32">
        <v>14.625</v>
      </c>
      <c r="CH18" s="32">
        <v>14.55</v>
      </c>
      <c r="CI18" s="32"/>
      <c r="CJ18" s="32"/>
      <c r="CK18" s="32"/>
      <c r="CL18" s="57" t="s">
        <v>306</v>
      </c>
      <c r="CM18" s="55" t="s">
        <v>306</v>
      </c>
      <c r="CN18" s="55" t="s">
        <v>306</v>
      </c>
      <c r="CO18" s="41">
        <v>11</v>
      </c>
      <c r="CP18" s="41">
        <v>51.5</v>
      </c>
      <c r="CQ18" s="41">
        <v>75.5</v>
      </c>
      <c r="CR18" s="41">
        <v>2.2999999999999998</v>
      </c>
      <c r="CS18" s="41">
        <v>6.1</v>
      </c>
      <c r="CT18" s="41">
        <v>5.7</v>
      </c>
      <c r="CU18" s="56">
        <v>41.3</v>
      </c>
      <c r="CV18" s="56">
        <v>44.4</v>
      </c>
      <c r="CW18" s="56">
        <v>43.5</v>
      </c>
      <c r="CX18" s="32" t="str">
        <f t="shared" si="0"/>
        <v>9830313Y</v>
      </c>
      <c r="CY18" s="41" t="s">
        <v>306</v>
      </c>
      <c r="CZ18" s="41" t="s">
        <v>306</v>
      </c>
      <c r="DA18" s="41" t="s">
        <v>306</v>
      </c>
      <c r="DD18" s="60"/>
    </row>
    <row r="19" spans="1:108">
      <c r="A19" s="30" t="s">
        <v>152</v>
      </c>
      <c r="B19" s="30" t="s">
        <v>65</v>
      </c>
      <c r="C19" s="30" t="s">
        <v>100</v>
      </c>
      <c r="D19" s="30" t="s">
        <v>121</v>
      </c>
      <c r="E19" s="30" t="s">
        <v>109</v>
      </c>
      <c r="F19" s="31">
        <v>136</v>
      </c>
      <c r="G19" s="31" t="s">
        <v>10</v>
      </c>
      <c r="H19" s="31" t="s">
        <v>10</v>
      </c>
      <c r="I19" s="31">
        <v>124</v>
      </c>
      <c r="J19" s="55" t="s">
        <v>10</v>
      </c>
      <c r="K19" s="55" t="s">
        <v>10</v>
      </c>
      <c r="L19" s="31">
        <v>128</v>
      </c>
      <c r="M19" s="55" t="s">
        <v>10</v>
      </c>
      <c r="N19" s="55" t="s">
        <v>10</v>
      </c>
      <c r="O19" s="31">
        <v>124</v>
      </c>
      <c r="P19" s="55" t="s">
        <v>10</v>
      </c>
      <c r="Q19" s="55" t="s">
        <v>10</v>
      </c>
      <c r="R19" s="55">
        <f>VLOOKUP($B19,Extract_R_20_10_25!$B$2:$H$75,2,FALSE)</f>
        <v>119</v>
      </c>
      <c r="S19" s="31">
        <f>VLOOKUP($B19,Extract_R_20_10_25!$B$2:$H$75,3,FALSE)</f>
        <v>0</v>
      </c>
      <c r="T19" s="55">
        <f>VLOOKUP($B19,Extract_R_20_10_25!$B$2:$H$75,4,FALSE)</f>
        <v>0</v>
      </c>
      <c r="U19" s="41">
        <v>175.6</v>
      </c>
      <c r="V19" s="41">
        <v>150.80000000000001</v>
      </c>
      <c r="W19" s="41">
        <v>137.9</v>
      </c>
      <c r="X19" s="41">
        <v>49.2</v>
      </c>
      <c r="Y19" s="41">
        <v>47.7</v>
      </c>
      <c r="Z19" s="41">
        <v>48</v>
      </c>
      <c r="AA19" s="41">
        <v>8.9</v>
      </c>
      <c r="AB19" s="41">
        <v>14.4</v>
      </c>
      <c r="AC19" s="41">
        <v>15.4</v>
      </c>
      <c r="AD19" s="41">
        <v>84.5</v>
      </c>
      <c r="AE19" s="56">
        <v>93.6</v>
      </c>
      <c r="AF19" s="41">
        <v>94.5</v>
      </c>
      <c r="AG19" s="41">
        <v>22.2</v>
      </c>
      <c r="AH19" s="41">
        <v>12</v>
      </c>
      <c r="AI19" s="41">
        <v>8.8000000000000007</v>
      </c>
      <c r="AJ19" s="57">
        <v>69.2</v>
      </c>
      <c r="AK19" s="57">
        <v>51.2</v>
      </c>
      <c r="AL19" s="57">
        <v>47.8</v>
      </c>
      <c r="AM19" s="57">
        <v>78.599999999999994</v>
      </c>
      <c r="AN19" s="57">
        <v>67.099999999999994</v>
      </c>
      <c r="AO19" s="57">
        <v>63.4</v>
      </c>
      <c r="AP19" s="58">
        <v>1.72</v>
      </c>
      <c r="AQ19" s="58">
        <v>1.48</v>
      </c>
      <c r="AR19" s="58">
        <v>1.43</v>
      </c>
      <c r="AS19" s="41">
        <v>17.7</v>
      </c>
      <c r="AT19" s="41">
        <v>20.9</v>
      </c>
      <c r="AU19" s="41">
        <v>21.4</v>
      </c>
      <c r="AV19" s="41">
        <v>30.3</v>
      </c>
      <c r="AW19" s="56">
        <v>44.8</v>
      </c>
      <c r="AX19" s="59">
        <v>50.5</v>
      </c>
      <c r="AY19" s="41">
        <v>24.2</v>
      </c>
      <c r="AZ19" s="56">
        <v>30.7</v>
      </c>
      <c r="BA19" s="59">
        <v>29.5</v>
      </c>
      <c r="BB19" s="41">
        <v>42.4</v>
      </c>
      <c r="BC19" s="56">
        <v>15.7</v>
      </c>
      <c r="BD19" s="32">
        <v>9.5</v>
      </c>
      <c r="BH19" s="41">
        <v>3</v>
      </c>
      <c r="BI19" s="41">
        <v>1.8</v>
      </c>
      <c r="BJ19" s="32">
        <v>1.2</v>
      </c>
      <c r="BK19" s="32">
        <v>42.9</v>
      </c>
      <c r="BL19" s="32">
        <v>83</v>
      </c>
      <c r="BM19" s="32">
        <v>83.3</v>
      </c>
      <c r="BN19" s="32">
        <v>80</v>
      </c>
      <c r="BO19" s="32">
        <v>85.5</v>
      </c>
      <c r="BP19" s="32">
        <v>83.3</v>
      </c>
      <c r="BQ19" s="41">
        <v>83.3</v>
      </c>
      <c r="BR19" s="32">
        <v>77.7</v>
      </c>
      <c r="BS19" s="32">
        <v>75.400000000000006</v>
      </c>
      <c r="BT19" s="32">
        <v>79.3</v>
      </c>
      <c r="BU19" s="32">
        <v>89.2</v>
      </c>
      <c r="BV19" s="32">
        <v>87.6</v>
      </c>
      <c r="BW19" s="41">
        <v>10.4</v>
      </c>
      <c r="BX19" s="41">
        <v>-6.5</v>
      </c>
      <c r="BY19" s="41">
        <v>-5.8999999999999897</v>
      </c>
      <c r="BZ19" s="41">
        <v>7.7</v>
      </c>
      <c r="CA19" s="41">
        <v>11</v>
      </c>
      <c r="CB19" s="41">
        <v>11.2</v>
      </c>
      <c r="CC19" s="57" t="s">
        <v>306</v>
      </c>
      <c r="CD19" s="57" t="s">
        <v>306</v>
      </c>
      <c r="CE19" s="57" t="s">
        <v>306</v>
      </c>
      <c r="CF19" s="32">
        <v>14.904999999999999</v>
      </c>
      <c r="CG19" s="32">
        <v>14.625</v>
      </c>
      <c r="CH19" s="32">
        <v>14.55</v>
      </c>
      <c r="CI19" s="32"/>
      <c r="CJ19" s="32"/>
      <c r="CK19" s="32"/>
      <c r="CL19" s="57" t="s">
        <v>306</v>
      </c>
      <c r="CM19" s="55" t="s">
        <v>306</v>
      </c>
      <c r="CN19" s="55" t="s">
        <v>306</v>
      </c>
      <c r="CO19" s="41">
        <v>18.600000000000001</v>
      </c>
      <c r="CP19" s="41">
        <v>51.5</v>
      </c>
      <c r="CQ19" s="41">
        <v>75.5</v>
      </c>
      <c r="CR19" s="41">
        <v>3.6</v>
      </c>
      <c r="CS19" s="41">
        <v>6.1</v>
      </c>
      <c r="CT19" s="41">
        <v>5.7</v>
      </c>
      <c r="CU19" s="56">
        <v>36.299999999999997</v>
      </c>
      <c r="CV19" s="56">
        <v>44.4</v>
      </c>
      <c r="CW19" s="56">
        <v>43.5</v>
      </c>
      <c r="CX19" s="32" t="str">
        <f t="shared" si="0"/>
        <v>9830354T</v>
      </c>
      <c r="CY19" s="41" t="s">
        <v>306</v>
      </c>
      <c r="CZ19" s="41" t="s">
        <v>306</v>
      </c>
      <c r="DA19" s="41" t="s">
        <v>306</v>
      </c>
      <c r="DD19" s="60"/>
    </row>
    <row r="20" spans="1:108">
      <c r="A20" s="30" t="s">
        <v>153</v>
      </c>
      <c r="B20" s="30" t="s">
        <v>66</v>
      </c>
      <c r="C20" s="30" t="s">
        <v>24</v>
      </c>
      <c r="D20" s="30" t="s">
        <v>119</v>
      </c>
      <c r="E20" s="30" t="s">
        <v>108</v>
      </c>
      <c r="F20" s="31">
        <v>117</v>
      </c>
      <c r="G20" s="31" t="s">
        <v>10</v>
      </c>
      <c r="H20" s="31" t="s">
        <v>10</v>
      </c>
      <c r="I20" s="31">
        <v>72</v>
      </c>
      <c r="J20" s="55" t="s">
        <v>10</v>
      </c>
      <c r="K20" s="55" t="s">
        <v>10</v>
      </c>
      <c r="L20" s="31">
        <v>74</v>
      </c>
      <c r="M20" s="55" t="s">
        <v>10</v>
      </c>
      <c r="N20" s="55" t="s">
        <v>10</v>
      </c>
      <c r="O20" s="31">
        <v>76</v>
      </c>
      <c r="P20" s="55" t="s">
        <v>10</v>
      </c>
      <c r="Q20" s="55" t="s">
        <v>10</v>
      </c>
      <c r="R20" s="55">
        <f>VLOOKUP($B20,Extract_R_20_10_25!$B$2:$H$75,2,FALSE)</f>
        <v>73</v>
      </c>
      <c r="S20" s="31">
        <f>VLOOKUP($B20,Extract_R_20_10_25!$B$2:$H$75,3,FALSE)</f>
        <v>0</v>
      </c>
      <c r="T20" s="55">
        <f>VLOOKUP($B20,Extract_R_20_10_25!$B$2:$H$75,4,FALSE)</f>
        <v>0</v>
      </c>
      <c r="U20" s="41">
        <v>171.2</v>
      </c>
      <c r="V20" s="41">
        <v>129.69999999999999</v>
      </c>
      <c r="W20" s="41">
        <v>137.9</v>
      </c>
      <c r="X20" s="41">
        <v>81.599999999999994</v>
      </c>
      <c r="Y20" s="41">
        <v>48.1</v>
      </c>
      <c r="Z20" s="41">
        <v>48</v>
      </c>
      <c r="AA20" s="41">
        <v>2.6</v>
      </c>
      <c r="AB20" s="41">
        <v>15.7</v>
      </c>
      <c r="AC20" s="41">
        <v>15.4</v>
      </c>
      <c r="AD20" s="41">
        <v>71.400000000000006</v>
      </c>
      <c r="AE20" s="56">
        <v>94.7</v>
      </c>
      <c r="AF20" s="41">
        <v>94.5</v>
      </c>
      <c r="AG20" s="41">
        <v>3.7</v>
      </c>
      <c r="AH20" s="41">
        <v>8</v>
      </c>
      <c r="AI20" s="41">
        <v>8.8000000000000007</v>
      </c>
      <c r="AJ20" s="57">
        <v>77.8</v>
      </c>
      <c r="AK20" s="57">
        <v>46.7</v>
      </c>
      <c r="AL20" s="57">
        <v>47.8</v>
      </c>
      <c r="AM20" s="57">
        <v>85.2</v>
      </c>
      <c r="AN20" s="57">
        <v>62.3</v>
      </c>
      <c r="AO20" s="57">
        <v>63.4</v>
      </c>
      <c r="AP20" s="58">
        <v>1.81</v>
      </c>
      <c r="AQ20" s="58">
        <v>1.42</v>
      </c>
      <c r="AR20" s="58">
        <v>1.43</v>
      </c>
      <c r="AS20" s="41">
        <v>19</v>
      </c>
      <c r="AT20" s="41">
        <v>21.5</v>
      </c>
      <c r="AU20" s="41">
        <v>21.4</v>
      </c>
      <c r="AV20" s="41">
        <v>53.3</v>
      </c>
      <c r="AW20" s="56">
        <v>52.3</v>
      </c>
      <c r="AX20" s="59">
        <v>50.5</v>
      </c>
      <c r="AY20" s="41">
        <v>46.7</v>
      </c>
      <c r="AZ20" s="56">
        <v>29.1</v>
      </c>
      <c r="BA20" s="59">
        <v>29.5</v>
      </c>
      <c r="BB20" s="41">
        <v>0</v>
      </c>
      <c r="BC20" s="56">
        <v>7.7</v>
      </c>
      <c r="BD20" s="32">
        <v>9.5</v>
      </c>
      <c r="BH20" s="41">
        <v>0</v>
      </c>
      <c r="BI20" s="41">
        <v>1</v>
      </c>
      <c r="BJ20" s="32">
        <v>1.2</v>
      </c>
      <c r="BK20" s="32">
        <v>50</v>
      </c>
      <c r="BL20" s="32">
        <v>83.4</v>
      </c>
      <c r="BM20" s="32">
        <v>83.3</v>
      </c>
      <c r="BN20" s="32">
        <v>80</v>
      </c>
      <c r="BO20" s="32">
        <v>82.7</v>
      </c>
      <c r="BP20" s="32">
        <v>83.3</v>
      </c>
      <c r="BQ20" s="41">
        <v>75</v>
      </c>
      <c r="BR20" s="32">
        <v>74.2</v>
      </c>
      <c r="BS20" s="32">
        <v>75.400000000000006</v>
      </c>
      <c r="BT20" s="32">
        <v>81.2</v>
      </c>
      <c r="BU20" s="32">
        <v>87.1</v>
      </c>
      <c r="BV20" s="32">
        <v>87.6</v>
      </c>
      <c r="BW20" s="41">
        <v>8.3000000000000007</v>
      </c>
      <c r="BX20" s="41">
        <v>-5.8</v>
      </c>
      <c r="BY20" s="41">
        <v>-5.8999999999999897</v>
      </c>
      <c r="BZ20" s="41">
        <v>10.9</v>
      </c>
      <c r="CA20" s="41">
        <v>11.3</v>
      </c>
      <c r="CB20" s="41">
        <v>11.2</v>
      </c>
      <c r="CC20" s="57" t="s">
        <v>306</v>
      </c>
      <c r="CD20" s="57" t="s">
        <v>306</v>
      </c>
      <c r="CE20" s="57" t="s">
        <v>306</v>
      </c>
      <c r="CF20" s="32">
        <v>13.25</v>
      </c>
      <c r="CG20" s="32">
        <v>14.525</v>
      </c>
      <c r="CH20" s="32">
        <v>14.55</v>
      </c>
      <c r="CI20" s="32"/>
      <c r="CJ20" s="32"/>
      <c r="CK20" s="32"/>
      <c r="CL20" s="41" t="s">
        <v>306</v>
      </c>
      <c r="CM20" s="31" t="s">
        <v>306</v>
      </c>
      <c r="CN20" s="55" t="s">
        <v>306</v>
      </c>
      <c r="CO20" s="41">
        <v>48.2</v>
      </c>
      <c r="CP20" s="41">
        <v>82.5</v>
      </c>
      <c r="CQ20" s="41">
        <v>75.5</v>
      </c>
      <c r="CR20" s="41">
        <v>1</v>
      </c>
      <c r="CS20" s="41">
        <v>5.5</v>
      </c>
      <c r="CT20" s="41">
        <v>5.7</v>
      </c>
      <c r="CU20" s="56">
        <v>37.799999999999997</v>
      </c>
      <c r="CV20" s="56">
        <v>43.2</v>
      </c>
      <c r="CW20" s="56">
        <v>43.5</v>
      </c>
      <c r="CX20" s="32" t="str">
        <f t="shared" si="0"/>
        <v>9830355U</v>
      </c>
      <c r="CY20" s="41" t="s">
        <v>306</v>
      </c>
      <c r="CZ20" s="41" t="s">
        <v>306</v>
      </c>
      <c r="DA20" s="41" t="s">
        <v>306</v>
      </c>
      <c r="DD20" s="60"/>
    </row>
    <row r="21" spans="1:108">
      <c r="A21" s="30" t="s">
        <v>133</v>
      </c>
      <c r="B21" s="30" t="s">
        <v>11</v>
      </c>
      <c r="C21" s="30" t="s">
        <v>24</v>
      </c>
      <c r="D21" s="30" t="s">
        <v>40</v>
      </c>
      <c r="E21" s="30" t="s">
        <v>108</v>
      </c>
      <c r="F21" s="31">
        <v>1049</v>
      </c>
      <c r="G21" s="31">
        <v>66</v>
      </c>
      <c r="H21" s="31">
        <v>21</v>
      </c>
      <c r="I21" s="31">
        <v>656</v>
      </c>
      <c r="J21" s="55">
        <v>66</v>
      </c>
      <c r="K21" s="55" t="s">
        <v>10</v>
      </c>
      <c r="L21" s="31">
        <v>627</v>
      </c>
      <c r="M21" s="55">
        <v>73</v>
      </c>
      <c r="N21" s="55" t="s">
        <v>10</v>
      </c>
      <c r="O21" s="31">
        <v>572</v>
      </c>
      <c r="P21" s="55">
        <v>72</v>
      </c>
      <c r="Q21" s="55" t="s">
        <v>10</v>
      </c>
      <c r="R21" s="55">
        <f>VLOOKUP($B21,Extract_R_20_10_25!$B$2:$H$75,2,FALSE)</f>
        <v>571</v>
      </c>
      <c r="S21" s="31">
        <f>VLOOKUP($B21,Extract_R_20_10_25!$B$2:$H$75,3,FALSE)</f>
        <v>72</v>
      </c>
      <c r="T21" s="55">
        <f>VLOOKUP($B21,Extract_R_20_10_25!$B$2:$H$75,4,FALSE)</f>
        <v>0</v>
      </c>
      <c r="U21" s="41">
        <v>100.2</v>
      </c>
      <c r="V21" s="41">
        <v>129.69999999999999</v>
      </c>
      <c r="W21" s="41">
        <v>137.9</v>
      </c>
      <c r="X21" s="41">
        <v>24.7</v>
      </c>
      <c r="Y21" s="41">
        <v>48.1</v>
      </c>
      <c r="Z21" s="41">
        <v>48</v>
      </c>
      <c r="AA21" s="41">
        <v>26.4</v>
      </c>
      <c r="AB21" s="41">
        <v>15.7</v>
      </c>
      <c r="AC21" s="41">
        <v>15.4</v>
      </c>
      <c r="AD21" s="41">
        <v>112.8</v>
      </c>
      <c r="AE21" s="56">
        <v>94.7</v>
      </c>
      <c r="AF21" s="41">
        <v>94.5</v>
      </c>
      <c r="AG21" s="41">
        <v>8.6999999999999993</v>
      </c>
      <c r="AH21" s="41">
        <v>8</v>
      </c>
      <c r="AI21" s="41">
        <v>8.8000000000000007</v>
      </c>
      <c r="AJ21" s="57">
        <v>41</v>
      </c>
      <c r="AK21" s="57">
        <v>46.7</v>
      </c>
      <c r="AL21" s="57">
        <v>47.8</v>
      </c>
      <c r="AM21" s="57">
        <v>49</v>
      </c>
      <c r="AN21" s="57">
        <v>62.3</v>
      </c>
      <c r="AO21" s="57">
        <v>63.4</v>
      </c>
      <c r="AP21" s="58">
        <v>1.27</v>
      </c>
      <c r="AQ21" s="58">
        <v>1.42</v>
      </c>
      <c r="AR21" s="58">
        <v>1.43</v>
      </c>
      <c r="AS21" s="41">
        <v>23.8</v>
      </c>
      <c r="AT21" s="41">
        <v>21.5</v>
      </c>
      <c r="AU21" s="41">
        <v>21.4</v>
      </c>
      <c r="AV21" s="41">
        <v>72.7</v>
      </c>
      <c r="AW21" s="56">
        <v>52.3</v>
      </c>
      <c r="AX21" s="59">
        <v>50.5</v>
      </c>
      <c r="AY21" s="41">
        <v>17.600000000000001</v>
      </c>
      <c r="AZ21" s="56">
        <v>29.1</v>
      </c>
      <c r="BA21" s="59">
        <v>29.5</v>
      </c>
      <c r="BB21" s="41">
        <v>1.8</v>
      </c>
      <c r="BC21" s="56">
        <v>7.7</v>
      </c>
      <c r="BD21" s="32">
        <v>9.5</v>
      </c>
      <c r="BH21" s="41">
        <v>1.8</v>
      </c>
      <c r="BI21" s="41">
        <v>1</v>
      </c>
      <c r="BJ21" s="32">
        <v>1.2</v>
      </c>
      <c r="BK21" s="32">
        <v>85.7</v>
      </c>
      <c r="BL21" s="32">
        <v>83.4</v>
      </c>
      <c r="BM21" s="32">
        <v>83.3</v>
      </c>
      <c r="BN21" s="32">
        <v>70</v>
      </c>
      <c r="BO21" s="32">
        <v>82.7</v>
      </c>
      <c r="BP21" s="32">
        <v>83.3</v>
      </c>
      <c r="BQ21" s="41">
        <v>100</v>
      </c>
      <c r="BR21" s="32">
        <v>74.2</v>
      </c>
      <c r="BS21" s="32">
        <v>75.400000000000006</v>
      </c>
      <c r="BT21" s="32">
        <v>90</v>
      </c>
      <c r="BU21" s="32">
        <v>87.1</v>
      </c>
      <c r="BV21" s="32">
        <v>87.6</v>
      </c>
      <c r="BW21" s="41">
        <v>-3.6000000000000099</v>
      </c>
      <c r="BX21" s="41">
        <v>-5.8</v>
      </c>
      <c r="BY21" s="41">
        <v>-5.8999999999999897</v>
      </c>
      <c r="BZ21" s="41">
        <v>13.4</v>
      </c>
      <c r="CA21" s="41">
        <v>11.3</v>
      </c>
      <c r="CB21" s="41">
        <v>11.2</v>
      </c>
      <c r="CC21" s="57" t="s">
        <v>306</v>
      </c>
      <c r="CD21" s="57" t="s">
        <v>306</v>
      </c>
      <c r="CE21" s="57" t="s">
        <v>306</v>
      </c>
      <c r="CF21" s="32">
        <v>15.265000000000001</v>
      </c>
      <c r="CG21" s="32">
        <v>14.525</v>
      </c>
      <c r="CH21" s="32">
        <v>14.55</v>
      </c>
      <c r="CI21" s="32"/>
      <c r="CJ21" s="32"/>
      <c r="CK21" s="32"/>
      <c r="CL21" s="41" t="s">
        <v>306</v>
      </c>
      <c r="CM21" s="31" t="s">
        <v>306</v>
      </c>
      <c r="CN21" s="55" t="s">
        <v>306</v>
      </c>
      <c r="CO21" s="41">
        <v>94.2</v>
      </c>
      <c r="CP21" s="41">
        <v>82.5</v>
      </c>
      <c r="CQ21" s="41">
        <v>75.5</v>
      </c>
      <c r="CR21" s="41">
        <v>8.6999999999999993</v>
      </c>
      <c r="CS21" s="41">
        <v>5.5</v>
      </c>
      <c r="CT21" s="41">
        <v>5.7</v>
      </c>
      <c r="CU21" s="56">
        <v>47.9</v>
      </c>
      <c r="CV21" s="56">
        <v>43.2</v>
      </c>
      <c r="CW21" s="56">
        <v>43.5</v>
      </c>
      <c r="CX21" s="32" t="str">
        <f t="shared" si="0"/>
        <v>9830356V</v>
      </c>
      <c r="CY21" s="41" t="s">
        <v>306</v>
      </c>
      <c r="CZ21" s="41" t="s">
        <v>306</v>
      </c>
      <c r="DA21" s="41" t="s">
        <v>306</v>
      </c>
      <c r="DD21" s="60"/>
    </row>
    <row r="22" spans="1:108">
      <c r="A22" s="30" t="s">
        <v>244</v>
      </c>
      <c r="B22" s="30" t="s">
        <v>67</v>
      </c>
      <c r="C22" s="30" t="s">
        <v>24</v>
      </c>
      <c r="D22" s="30" t="s">
        <v>123</v>
      </c>
      <c r="E22" s="30" t="s">
        <v>108</v>
      </c>
      <c r="F22" s="31">
        <v>323</v>
      </c>
      <c r="G22" s="31">
        <v>45</v>
      </c>
      <c r="H22" s="31">
        <v>11</v>
      </c>
      <c r="I22" s="31">
        <v>222</v>
      </c>
      <c r="J22" s="55">
        <v>44</v>
      </c>
      <c r="K22" s="55" t="s">
        <v>10</v>
      </c>
      <c r="L22" s="31">
        <v>223</v>
      </c>
      <c r="M22" s="55">
        <v>47</v>
      </c>
      <c r="N22" s="55" t="s">
        <v>10</v>
      </c>
      <c r="O22" s="31">
        <v>236</v>
      </c>
      <c r="P22" s="55">
        <v>46</v>
      </c>
      <c r="Q22" s="55" t="s">
        <v>10</v>
      </c>
      <c r="R22" s="55">
        <f>VLOOKUP($B22,Extract_R_20_10_25!$B$2:$H$75,2,FALSE)</f>
        <v>234</v>
      </c>
      <c r="S22" s="31">
        <f>VLOOKUP($B22,Extract_R_20_10_25!$B$2:$H$75,3,FALSE)</f>
        <v>47</v>
      </c>
      <c r="T22" s="55">
        <f>VLOOKUP($B22,Extract_R_20_10_25!$B$2:$H$75,4,FALSE)</f>
        <v>0</v>
      </c>
      <c r="U22" s="41">
        <v>153.80000000000001</v>
      </c>
      <c r="V22" s="41">
        <v>129.69999999999999</v>
      </c>
      <c r="W22" s="41">
        <v>137.9</v>
      </c>
      <c r="X22" s="41">
        <v>59.2</v>
      </c>
      <c r="Y22" s="41">
        <v>48.1</v>
      </c>
      <c r="Z22" s="41">
        <v>48</v>
      </c>
      <c r="AA22" s="41">
        <v>6</v>
      </c>
      <c r="AB22" s="41">
        <v>15.7</v>
      </c>
      <c r="AC22" s="41">
        <v>15.4</v>
      </c>
      <c r="AD22" s="41">
        <v>79.2</v>
      </c>
      <c r="AE22" s="56">
        <v>94.7</v>
      </c>
      <c r="AF22" s="41">
        <v>94.5</v>
      </c>
      <c r="AG22" s="41">
        <v>8.8000000000000007</v>
      </c>
      <c r="AH22" s="41">
        <v>8</v>
      </c>
      <c r="AI22" s="41">
        <v>8.8000000000000007</v>
      </c>
      <c r="AJ22" s="57">
        <v>49.2</v>
      </c>
      <c r="AK22" s="57">
        <v>46.7</v>
      </c>
      <c r="AL22" s="57">
        <v>47.8</v>
      </c>
      <c r="AM22" s="57">
        <v>62.5</v>
      </c>
      <c r="AN22" s="57">
        <v>62.3</v>
      </c>
      <c r="AO22" s="57">
        <v>63.4</v>
      </c>
      <c r="AP22" s="58">
        <v>1.64</v>
      </c>
      <c r="AQ22" s="58">
        <v>1.42</v>
      </c>
      <c r="AR22" s="58">
        <v>1.43</v>
      </c>
      <c r="AS22" s="41">
        <v>18.7</v>
      </c>
      <c r="AT22" s="41">
        <v>21.5</v>
      </c>
      <c r="AU22" s="41">
        <v>21.4</v>
      </c>
      <c r="AV22" s="41">
        <v>48.1</v>
      </c>
      <c r="AW22" s="56">
        <v>52.3</v>
      </c>
      <c r="AX22" s="59">
        <v>50.5</v>
      </c>
      <c r="AY22" s="41">
        <v>33.299999999999997</v>
      </c>
      <c r="AZ22" s="56">
        <v>29.1</v>
      </c>
      <c r="BA22" s="59">
        <v>29.5</v>
      </c>
      <c r="BB22" s="41">
        <v>13</v>
      </c>
      <c r="BC22" s="56">
        <v>7.7</v>
      </c>
      <c r="BD22" s="32">
        <v>9.5</v>
      </c>
      <c r="BH22" s="41">
        <v>1.9</v>
      </c>
      <c r="BI22" s="41">
        <v>1</v>
      </c>
      <c r="BJ22" s="32">
        <v>1.2</v>
      </c>
      <c r="BK22" s="32">
        <v>90.9</v>
      </c>
      <c r="BL22" s="32">
        <v>83.4</v>
      </c>
      <c r="BM22" s="32">
        <v>83.3</v>
      </c>
      <c r="BN22" s="32">
        <v>84.2</v>
      </c>
      <c r="BO22" s="32">
        <v>82.7</v>
      </c>
      <c r="BP22" s="32">
        <v>83.3</v>
      </c>
      <c r="BQ22" s="41">
        <v>100</v>
      </c>
      <c r="BR22" s="32">
        <v>74.2</v>
      </c>
      <c r="BS22" s="32">
        <v>75.400000000000006</v>
      </c>
      <c r="BT22" s="32">
        <v>83.6</v>
      </c>
      <c r="BU22" s="32">
        <v>87.1</v>
      </c>
      <c r="BV22" s="32">
        <v>87.6</v>
      </c>
      <c r="BW22" s="41">
        <v>-2.0999999999999899</v>
      </c>
      <c r="BX22" s="41">
        <v>-5.8</v>
      </c>
      <c r="BY22" s="41">
        <v>-5.8999999999999897</v>
      </c>
      <c r="BZ22" s="41">
        <v>10.7</v>
      </c>
      <c r="CA22" s="41">
        <v>11.3</v>
      </c>
      <c r="CB22" s="41">
        <v>11.2</v>
      </c>
      <c r="CC22" s="57" t="s">
        <v>306</v>
      </c>
      <c r="CD22" s="57" t="s">
        <v>306</v>
      </c>
      <c r="CE22" s="57" t="s">
        <v>306</v>
      </c>
      <c r="CF22" s="32">
        <v>14.244999999999999</v>
      </c>
      <c r="CG22" s="32">
        <v>14.525</v>
      </c>
      <c r="CH22" s="32">
        <v>14.55</v>
      </c>
      <c r="CI22" s="32"/>
      <c r="CJ22" s="32"/>
      <c r="CK22" s="32"/>
      <c r="CL22" s="41" t="s">
        <v>306</v>
      </c>
      <c r="CM22" s="31" t="s">
        <v>306</v>
      </c>
      <c r="CN22" s="55" t="s">
        <v>306</v>
      </c>
      <c r="CO22" s="41">
        <v>79</v>
      </c>
      <c r="CP22" s="41">
        <v>82.5</v>
      </c>
      <c r="CQ22" s="41">
        <v>75.5</v>
      </c>
      <c r="CR22" s="41">
        <v>6</v>
      </c>
      <c r="CS22" s="41">
        <v>5.5</v>
      </c>
      <c r="CT22" s="41">
        <v>5.7</v>
      </c>
      <c r="CU22" s="56">
        <v>43.7</v>
      </c>
      <c r="CV22" s="56">
        <v>43.2</v>
      </c>
      <c r="CW22" s="56">
        <v>43.5</v>
      </c>
      <c r="CX22" s="32" t="str">
        <f t="shared" si="0"/>
        <v>9830357W</v>
      </c>
      <c r="CY22" s="41" t="s">
        <v>306</v>
      </c>
      <c r="CZ22" s="41" t="s">
        <v>306</v>
      </c>
      <c r="DA22" s="41" t="s">
        <v>306</v>
      </c>
      <c r="DD22" s="60"/>
    </row>
    <row r="23" spans="1:108">
      <c r="A23" s="30" t="s">
        <v>154</v>
      </c>
      <c r="B23" s="30" t="s">
        <v>68</v>
      </c>
      <c r="C23" s="30" t="s">
        <v>100</v>
      </c>
      <c r="D23" s="30" t="s">
        <v>111</v>
      </c>
      <c r="E23" s="30" t="s">
        <v>109</v>
      </c>
      <c r="F23" s="31">
        <v>189</v>
      </c>
      <c r="G23" s="31" t="s">
        <v>10</v>
      </c>
      <c r="H23" s="31" t="s">
        <v>10</v>
      </c>
      <c r="I23" s="31">
        <v>193</v>
      </c>
      <c r="J23" s="55" t="s">
        <v>10</v>
      </c>
      <c r="K23" s="55" t="s">
        <v>10</v>
      </c>
      <c r="L23" s="31">
        <v>187</v>
      </c>
      <c r="M23" s="55" t="s">
        <v>10</v>
      </c>
      <c r="N23" s="55" t="s">
        <v>10</v>
      </c>
      <c r="O23" s="31">
        <v>172</v>
      </c>
      <c r="P23" s="55" t="s">
        <v>10</v>
      </c>
      <c r="Q23" s="55" t="s">
        <v>10</v>
      </c>
      <c r="R23" s="55">
        <f>VLOOKUP($B23,Extract_R_20_10_25!$B$2:$H$75,2,FALSE)</f>
        <v>173</v>
      </c>
      <c r="S23" s="31">
        <f>VLOOKUP($B23,Extract_R_20_10_25!$B$2:$H$75,3,FALSE)</f>
        <v>0</v>
      </c>
      <c r="T23" s="55">
        <f>VLOOKUP($B23,Extract_R_20_10_25!$B$2:$H$75,4,FALSE)</f>
        <v>0</v>
      </c>
      <c r="U23" s="41">
        <v>123.3</v>
      </c>
      <c r="V23" s="41">
        <v>150.80000000000001</v>
      </c>
      <c r="W23" s="41">
        <v>137.9</v>
      </c>
      <c r="X23" s="41">
        <v>41.5</v>
      </c>
      <c r="Y23" s="41">
        <v>47.7</v>
      </c>
      <c r="Z23" s="41">
        <v>48</v>
      </c>
      <c r="AA23" s="41">
        <v>17</v>
      </c>
      <c r="AB23" s="41">
        <v>14.4</v>
      </c>
      <c r="AC23" s="41">
        <v>15.4</v>
      </c>
      <c r="AD23" s="41">
        <v>100.2</v>
      </c>
      <c r="AE23" s="56">
        <v>93.6</v>
      </c>
      <c r="AF23" s="41">
        <v>94.5</v>
      </c>
      <c r="AG23" s="41">
        <v>0</v>
      </c>
      <c r="AH23" s="41">
        <v>12</v>
      </c>
      <c r="AI23" s="41">
        <v>8.8000000000000007</v>
      </c>
      <c r="AJ23" s="57">
        <v>53.3</v>
      </c>
      <c r="AK23" s="57">
        <v>51.2</v>
      </c>
      <c r="AL23" s="57">
        <v>47.8</v>
      </c>
      <c r="AM23" s="57">
        <v>85.7</v>
      </c>
      <c r="AN23" s="57">
        <v>67.099999999999994</v>
      </c>
      <c r="AO23" s="57">
        <v>63.4</v>
      </c>
      <c r="AP23" s="58">
        <v>1.42</v>
      </c>
      <c r="AQ23" s="58">
        <v>1.48</v>
      </c>
      <c r="AR23" s="58">
        <v>1.43</v>
      </c>
      <c r="AS23" s="41">
        <v>21.5</v>
      </c>
      <c r="AT23" s="41">
        <v>20.9</v>
      </c>
      <c r="AU23" s="41">
        <v>21.4</v>
      </c>
      <c r="AV23" s="41">
        <v>29.5</v>
      </c>
      <c r="AW23" s="56">
        <v>44.8</v>
      </c>
      <c r="AX23" s="59">
        <v>50.5</v>
      </c>
      <c r="AY23" s="41">
        <v>34.1</v>
      </c>
      <c r="AZ23" s="56">
        <v>30.7</v>
      </c>
      <c r="BA23" s="59">
        <v>29.5</v>
      </c>
      <c r="BB23" s="41">
        <v>34.1</v>
      </c>
      <c r="BC23" s="56">
        <v>15.7</v>
      </c>
      <c r="BD23" s="32">
        <v>9.5</v>
      </c>
      <c r="BH23" s="41">
        <v>2.2999999999999998</v>
      </c>
      <c r="BI23" s="41">
        <v>1.8</v>
      </c>
      <c r="BJ23" s="32">
        <v>1.2</v>
      </c>
      <c r="BK23" s="32">
        <v>89.3</v>
      </c>
      <c r="BL23" s="32">
        <v>83</v>
      </c>
      <c r="BM23" s="32">
        <v>83.3</v>
      </c>
      <c r="BN23" s="32">
        <v>85.7</v>
      </c>
      <c r="BO23" s="32">
        <v>85.5</v>
      </c>
      <c r="BP23" s="32">
        <v>83.3</v>
      </c>
      <c r="BQ23" s="41">
        <v>88.9</v>
      </c>
      <c r="BR23" s="32">
        <v>77.7</v>
      </c>
      <c r="BS23" s="32">
        <v>75.400000000000006</v>
      </c>
      <c r="BT23" s="32">
        <v>75</v>
      </c>
      <c r="BU23" s="32">
        <v>89.2</v>
      </c>
      <c r="BV23" s="32">
        <v>87.6</v>
      </c>
      <c r="BW23" s="41">
        <v>-20.8</v>
      </c>
      <c r="BX23" s="41">
        <v>-6.5</v>
      </c>
      <c r="BY23" s="41">
        <v>-5.8999999999999897</v>
      </c>
      <c r="BZ23" s="41">
        <v>10.5</v>
      </c>
      <c r="CA23" s="41">
        <v>11</v>
      </c>
      <c r="CB23" s="41">
        <v>11.2</v>
      </c>
      <c r="CC23" s="57" t="s">
        <v>306</v>
      </c>
      <c r="CD23" s="57" t="s">
        <v>306</v>
      </c>
      <c r="CE23" s="57" t="s">
        <v>306</v>
      </c>
      <c r="CF23" s="32">
        <v>13.64</v>
      </c>
      <c r="CG23" s="32">
        <v>14.625</v>
      </c>
      <c r="CH23" s="32">
        <v>14.55</v>
      </c>
      <c r="CI23" s="32"/>
      <c r="CJ23" s="32"/>
      <c r="CK23" s="32"/>
      <c r="CL23" s="57" t="s">
        <v>306</v>
      </c>
      <c r="CM23" s="55" t="s">
        <v>306</v>
      </c>
      <c r="CN23" s="55" t="s">
        <v>306</v>
      </c>
      <c r="CO23" s="41">
        <v>63</v>
      </c>
      <c r="CP23" s="41">
        <v>51.5</v>
      </c>
      <c r="CQ23" s="41">
        <v>75.5</v>
      </c>
      <c r="CR23" s="41">
        <v>7.8</v>
      </c>
      <c r="CS23" s="41">
        <v>6.1</v>
      </c>
      <c r="CT23" s="41">
        <v>5.7</v>
      </c>
      <c r="CU23" s="56">
        <v>46.1</v>
      </c>
      <c r="CV23" s="56">
        <v>44.4</v>
      </c>
      <c r="CW23" s="56">
        <v>43.5</v>
      </c>
      <c r="CX23" s="32" t="str">
        <f t="shared" si="0"/>
        <v>9830381X</v>
      </c>
      <c r="CY23" s="41" t="s">
        <v>306</v>
      </c>
      <c r="CZ23" s="41" t="s">
        <v>306</v>
      </c>
      <c r="DA23" s="41" t="s">
        <v>306</v>
      </c>
      <c r="DD23" s="60"/>
    </row>
    <row r="24" spans="1:108">
      <c r="A24" s="30" t="s">
        <v>155</v>
      </c>
      <c r="B24" s="30" t="s">
        <v>69</v>
      </c>
      <c r="C24" s="30" t="s">
        <v>100</v>
      </c>
      <c r="D24" s="30" t="s">
        <v>110</v>
      </c>
      <c r="E24" s="30" t="s">
        <v>109</v>
      </c>
      <c r="F24" s="31">
        <v>197</v>
      </c>
      <c r="G24" s="31" t="s">
        <v>10</v>
      </c>
      <c r="H24" s="31" t="s">
        <v>10</v>
      </c>
      <c r="I24" s="31">
        <v>112</v>
      </c>
      <c r="J24" s="55" t="s">
        <v>10</v>
      </c>
      <c r="K24" s="55" t="s">
        <v>10</v>
      </c>
      <c r="L24" s="31">
        <v>97</v>
      </c>
      <c r="M24" s="55" t="s">
        <v>10</v>
      </c>
      <c r="N24" s="55" t="s">
        <v>10</v>
      </c>
      <c r="O24" s="31">
        <v>99</v>
      </c>
      <c r="P24" s="55" t="s">
        <v>10</v>
      </c>
      <c r="Q24" s="55" t="s">
        <v>10</v>
      </c>
      <c r="R24" s="55">
        <f>VLOOKUP($B24,Extract_R_20_10_25!$B$2:$H$75,2,FALSE)</f>
        <v>96</v>
      </c>
      <c r="S24" s="31">
        <f>VLOOKUP($B24,Extract_R_20_10_25!$B$2:$H$75,3,FALSE)</f>
        <v>0</v>
      </c>
      <c r="T24" s="55">
        <f>VLOOKUP($B24,Extract_R_20_10_25!$B$2:$H$75,4,FALSE)</f>
        <v>0</v>
      </c>
      <c r="U24" s="41">
        <v>138.69999999999999</v>
      </c>
      <c r="V24" s="41">
        <v>150.80000000000001</v>
      </c>
      <c r="W24" s="41">
        <v>137.9</v>
      </c>
      <c r="X24" s="41">
        <v>80.599999999999994</v>
      </c>
      <c r="Y24" s="41">
        <v>47.7</v>
      </c>
      <c r="Z24" s="41">
        <v>48</v>
      </c>
      <c r="AA24" s="41">
        <v>1</v>
      </c>
      <c r="AB24" s="41">
        <v>14.4</v>
      </c>
      <c r="AC24" s="41">
        <v>15.4</v>
      </c>
      <c r="AD24" s="41">
        <v>70.400000000000006</v>
      </c>
      <c r="AE24" s="56">
        <v>93.6</v>
      </c>
      <c r="AF24" s="41">
        <v>94.5</v>
      </c>
      <c r="AG24" s="41">
        <v>14.3</v>
      </c>
      <c r="AH24" s="41">
        <v>12</v>
      </c>
      <c r="AI24" s="41">
        <v>8.8000000000000007</v>
      </c>
      <c r="AJ24" s="57">
        <v>100</v>
      </c>
      <c r="AK24" s="57">
        <v>51.2</v>
      </c>
      <c r="AL24" s="57">
        <v>47.8</v>
      </c>
      <c r="AM24" s="57">
        <v>100</v>
      </c>
      <c r="AN24" s="57">
        <v>67.099999999999994</v>
      </c>
      <c r="AO24" s="57">
        <v>63.4</v>
      </c>
      <c r="AP24" s="58">
        <v>1.45</v>
      </c>
      <c r="AQ24" s="58">
        <v>1.48</v>
      </c>
      <c r="AR24" s="58">
        <v>1.43</v>
      </c>
      <c r="AS24" s="41">
        <v>24.8</v>
      </c>
      <c r="AT24" s="41">
        <v>20.9</v>
      </c>
      <c r="AU24" s="41">
        <v>21.4</v>
      </c>
      <c r="AV24" s="41">
        <v>37.5</v>
      </c>
      <c r="AW24" s="56">
        <v>44.8</v>
      </c>
      <c r="AX24" s="59">
        <v>50.5</v>
      </c>
      <c r="AY24" s="41">
        <v>12.5</v>
      </c>
      <c r="AZ24" s="56">
        <v>30.7</v>
      </c>
      <c r="BA24" s="59">
        <v>29.5</v>
      </c>
      <c r="BB24" s="41">
        <v>37.5</v>
      </c>
      <c r="BC24" s="56">
        <v>15.7</v>
      </c>
      <c r="BD24" s="32">
        <v>9.5</v>
      </c>
      <c r="BH24" s="41">
        <v>4.2</v>
      </c>
      <c r="BI24" s="41">
        <v>1.8</v>
      </c>
      <c r="BJ24" s="32">
        <v>1.2</v>
      </c>
      <c r="BK24" s="32">
        <v>100</v>
      </c>
      <c r="BL24" s="32">
        <v>83</v>
      </c>
      <c r="BM24" s="32">
        <v>83.3</v>
      </c>
      <c r="BN24" s="32">
        <v>100</v>
      </c>
      <c r="BO24" s="32">
        <v>85.5</v>
      </c>
      <c r="BP24" s="32">
        <v>83.3</v>
      </c>
      <c r="BQ24" s="41">
        <v>86.7</v>
      </c>
      <c r="BR24" s="32">
        <v>77.7</v>
      </c>
      <c r="BS24" s="32">
        <v>75.400000000000006</v>
      </c>
      <c r="BT24" s="32">
        <v>80</v>
      </c>
      <c r="BU24" s="32">
        <v>89.2</v>
      </c>
      <c r="BV24" s="32">
        <v>87.6</v>
      </c>
      <c r="BW24" s="41">
        <v>-22.2</v>
      </c>
      <c r="BX24" s="41">
        <v>-6.5</v>
      </c>
      <c r="BY24" s="41">
        <v>-5.8999999999999897</v>
      </c>
      <c r="BZ24" s="41">
        <v>9.4</v>
      </c>
      <c r="CA24" s="41">
        <v>11</v>
      </c>
      <c r="CB24" s="41">
        <v>11.2</v>
      </c>
      <c r="CC24" s="57" t="s">
        <v>306</v>
      </c>
      <c r="CD24" s="57" t="s">
        <v>306</v>
      </c>
      <c r="CE24" s="57" t="s">
        <v>306</v>
      </c>
      <c r="CF24" s="32">
        <v>13.64</v>
      </c>
      <c r="CG24" s="32">
        <v>14.625</v>
      </c>
      <c r="CH24" s="32">
        <v>14.55</v>
      </c>
      <c r="CI24" s="32"/>
      <c r="CJ24" s="32"/>
      <c r="CK24" s="32"/>
      <c r="CL24" s="57" t="s">
        <v>306</v>
      </c>
      <c r="CM24" s="55" t="s">
        <v>306</v>
      </c>
      <c r="CN24" s="55" t="s">
        <v>306</v>
      </c>
      <c r="CO24" s="41">
        <v>53.5</v>
      </c>
      <c r="CP24" s="41">
        <v>51.5</v>
      </c>
      <c r="CQ24" s="41">
        <v>75.5</v>
      </c>
      <c r="CR24" s="41">
        <v>3.7</v>
      </c>
      <c r="CS24" s="41">
        <v>6.1</v>
      </c>
      <c r="CT24" s="41">
        <v>5.7</v>
      </c>
      <c r="CU24" s="56">
        <v>40.9</v>
      </c>
      <c r="CV24" s="56">
        <v>44.4</v>
      </c>
      <c r="CW24" s="56">
        <v>43.5</v>
      </c>
      <c r="CX24" s="32" t="str">
        <f t="shared" si="0"/>
        <v>9830382Y</v>
      </c>
      <c r="CY24" s="41" t="s">
        <v>306</v>
      </c>
      <c r="CZ24" s="41" t="s">
        <v>306</v>
      </c>
      <c r="DA24" s="41" t="s">
        <v>306</v>
      </c>
      <c r="DD24" s="60"/>
    </row>
    <row r="25" spans="1:108">
      <c r="A25" s="30" t="s">
        <v>156</v>
      </c>
      <c r="B25" s="30" t="s">
        <v>70</v>
      </c>
      <c r="C25" s="30" t="s">
        <v>24</v>
      </c>
      <c r="D25" s="30" t="s">
        <v>112</v>
      </c>
      <c r="E25" s="30" t="s">
        <v>108</v>
      </c>
      <c r="F25" s="31">
        <v>752</v>
      </c>
      <c r="G25" s="31">
        <v>67</v>
      </c>
      <c r="H25" s="31" t="s">
        <v>10</v>
      </c>
      <c r="I25" s="31">
        <v>596</v>
      </c>
      <c r="J25" s="55">
        <v>56</v>
      </c>
      <c r="K25" s="55" t="s">
        <v>10</v>
      </c>
      <c r="L25" s="31">
        <v>609</v>
      </c>
      <c r="M25" s="55">
        <v>55</v>
      </c>
      <c r="N25" s="55" t="s">
        <v>10</v>
      </c>
      <c r="O25" s="31">
        <v>517</v>
      </c>
      <c r="P25" s="55">
        <v>45</v>
      </c>
      <c r="Q25" s="55" t="s">
        <v>10</v>
      </c>
      <c r="R25" s="55">
        <f>VLOOKUP($B25,Extract_R_20_10_25!$B$2:$H$75,2,FALSE)</f>
        <v>509</v>
      </c>
      <c r="S25" s="31">
        <f>VLOOKUP($B25,Extract_R_20_10_25!$B$2:$H$75,3,FALSE)</f>
        <v>45</v>
      </c>
      <c r="T25" s="55">
        <f>VLOOKUP($B25,Extract_R_20_10_25!$B$2:$H$75,4,FALSE)</f>
        <v>0</v>
      </c>
      <c r="U25" s="41">
        <v>99.5</v>
      </c>
      <c r="V25" s="41">
        <v>129.69999999999999</v>
      </c>
      <c r="W25" s="41">
        <v>137.9</v>
      </c>
      <c r="X25" s="41">
        <v>47.8</v>
      </c>
      <c r="Y25" s="41">
        <v>48.1</v>
      </c>
      <c r="Z25" s="41">
        <v>48</v>
      </c>
      <c r="AA25" s="41">
        <v>11.9</v>
      </c>
      <c r="AB25" s="41">
        <v>15.7</v>
      </c>
      <c r="AC25" s="41">
        <v>15.4</v>
      </c>
      <c r="AD25" s="41">
        <v>91.1</v>
      </c>
      <c r="AE25" s="56">
        <v>94.7</v>
      </c>
      <c r="AF25" s="41">
        <v>94.5</v>
      </c>
      <c r="AG25" s="41">
        <v>5.0999999999999996</v>
      </c>
      <c r="AH25" s="41">
        <v>8</v>
      </c>
      <c r="AI25" s="41">
        <v>8.8000000000000007</v>
      </c>
      <c r="AJ25" s="57">
        <v>48</v>
      </c>
      <c r="AK25" s="57">
        <v>46.7</v>
      </c>
      <c r="AL25" s="57">
        <v>47.8</v>
      </c>
      <c r="AM25" s="57">
        <v>70.2</v>
      </c>
      <c r="AN25" s="57">
        <v>62.3</v>
      </c>
      <c r="AO25" s="57">
        <v>63.4</v>
      </c>
      <c r="AP25" s="58">
        <v>1.58</v>
      </c>
      <c r="AQ25" s="58">
        <v>1.42</v>
      </c>
      <c r="AR25" s="58">
        <v>1.43</v>
      </c>
      <c r="AS25" s="41">
        <v>19.2</v>
      </c>
      <c r="AT25" s="41">
        <v>21.5</v>
      </c>
      <c r="AU25" s="41">
        <v>21.4</v>
      </c>
      <c r="AV25" s="41">
        <v>55.2</v>
      </c>
      <c r="AW25" s="56">
        <v>52.3</v>
      </c>
      <c r="AX25" s="59">
        <v>50.5</v>
      </c>
      <c r="AY25" s="41">
        <v>27.9</v>
      </c>
      <c r="AZ25" s="56">
        <v>29.1</v>
      </c>
      <c r="BA25" s="59">
        <v>29.5</v>
      </c>
      <c r="BB25" s="41">
        <v>7.1</v>
      </c>
      <c r="BC25" s="56">
        <v>7.7</v>
      </c>
      <c r="BD25" s="32">
        <v>9.5</v>
      </c>
      <c r="BH25" s="41">
        <v>1.3</v>
      </c>
      <c r="BI25" s="41">
        <v>1</v>
      </c>
      <c r="BJ25" s="32">
        <v>1.2</v>
      </c>
      <c r="BK25" s="32">
        <v>77.099999999999994</v>
      </c>
      <c r="BL25" s="32">
        <v>83.4</v>
      </c>
      <c r="BM25" s="32">
        <v>83.3</v>
      </c>
      <c r="BN25" s="32">
        <v>86.8</v>
      </c>
      <c r="BO25" s="32">
        <v>82.7</v>
      </c>
      <c r="BP25" s="32">
        <v>83.3</v>
      </c>
      <c r="BQ25" s="41">
        <v>83.3</v>
      </c>
      <c r="BR25" s="32">
        <v>74.2</v>
      </c>
      <c r="BS25" s="32">
        <v>75.400000000000006</v>
      </c>
      <c r="BT25" s="32">
        <v>76.599999999999994</v>
      </c>
      <c r="BU25" s="32">
        <v>87.1</v>
      </c>
      <c r="BV25" s="32">
        <v>87.6</v>
      </c>
      <c r="BW25" s="41">
        <v>-3.30000000000001</v>
      </c>
      <c r="BX25" s="41">
        <v>-5.8</v>
      </c>
      <c r="BY25" s="41">
        <v>-5.8999999999999897</v>
      </c>
      <c r="BZ25" s="41">
        <v>9.8000000000000007</v>
      </c>
      <c r="CA25" s="41">
        <v>11.3</v>
      </c>
      <c r="CB25" s="41">
        <v>11.2</v>
      </c>
      <c r="CC25" s="57" t="s">
        <v>306</v>
      </c>
      <c r="CD25" s="57" t="s">
        <v>306</v>
      </c>
      <c r="CE25" s="57" t="s">
        <v>306</v>
      </c>
      <c r="CF25" s="32">
        <v>13.835000000000001</v>
      </c>
      <c r="CG25" s="32">
        <v>14.525</v>
      </c>
      <c r="CH25" s="32">
        <v>14.55</v>
      </c>
      <c r="CI25" s="32"/>
      <c r="CJ25" s="32"/>
      <c r="CK25" s="32"/>
      <c r="CL25" s="41" t="s">
        <v>306</v>
      </c>
      <c r="CM25" s="31" t="s">
        <v>306</v>
      </c>
      <c r="CN25" s="55" t="s">
        <v>306</v>
      </c>
      <c r="CO25" s="41">
        <v>91.1</v>
      </c>
      <c r="CP25" s="41">
        <v>82.5</v>
      </c>
      <c r="CQ25" s="41">
        <v>75.5</v>
      </c>
      <c r="CR25" s="41">
        <v>7.5</v>
      </c>
      <c r="CS25" s="41">
        <v>5.5</v>
      </c>
      <c r="CT25" s="41">
        <v>5.7</v>
      </c>
      <c r="CU25" s="56">
        <v>45.8</v>
      </c>
      <c r="CV25" s="56">
        <v>43.2</v>
      </c>
      <c r="CW25" s="56">
        <v>43.5</v>
      </c>
      <c r="CX25" s="32" t="str">
        <f t="shared" si="0"/>
        <v>9830384A</v>
      </c>
      <c r="CY25" s="41" t="s">
        <v>306</v>
      </c>
      <c r="CZ25" s="41" t="s">
        <v>306</v>
      </c>
      <c r="DA25" s="41" t="s">
        <v>306</v>
      </c>
      <c r="DD25" s="60"/>
    </row>
    <row r="26" spans="1:108">
      <c r="A26" s="30" t="s">
        <v>157</v>
      </c>
      <c r="B26" s="30" t="s">
        <v>71</v>
      </c>
      <c r="C26" s="30" t="s">
        <v>100</v>
      </c>
      <c r="D26" s="30" t="s">
        <v>122</v>
      </c>
      <c r="E26" s="30" t="s">
        <v>109</v>
      </c>
      <c r="F26" s="31">
        <v>176</v>
      </c>
      <c r="G26" s="31" t="s">
        <v>10</v>
      </c>
      <c r="H26" s="31" t="s">
        <v>10</v>
      </c>
      <c r="I26" s="31">
        <v>125</v>
      </c>
      <c r="J26" s="55" t="s">
        <v>10</v>
      </c>
      <c r="K26" s="55" t="s">
        <v>10</v>
      </c>
      <c r="L26" s="31">
        <v>115</v>
      </c>
      <c r="M26" s="55" t="s">
        <v>10</v>
      </c>
      <c r="N26" s="55" t="s">
        <v>10</v>
      </c>
      <c r="O26" s="31">
        <v>157</v>
      </c>
      <c r="P26" s="55" t="s">
        <v>10</v>
      </c>
      <c r="Q26" s="55" t="s">
        <v>10</v>
      </c>
      <c r="R26" s="55">
        <f>VLOOKUP($B26,Extract_R_20_10_25!$B$2:$H$75,2,FALSE)</f>
        <v>157</v>
      </c>
      <c r="S26" s="31">
        <f>VLOOKUP($B26,Extract_R_20_10_25!$B$2:$H$75,3,FALSE)</f>
        <v>0</v>
      </c>
      <c r="T26" s="55">
        <f>VLOOKUP($B26,Extract_R_20_10_25!$B$2:$H$75,4,FALSE)</f>
        <v>0</v>
      </c>
      <c r="U26" s="41">
        <v>197</v>
      </c>
      <c r="V26" s="41">
        <v>150.80000000000001</v>
      </c>
      <c r="W26" s="41">
        <v>137.9</v>
      </c>
      <c r="X26" s="41">
        <v>52.2</v>
      </c>
      <c r="Y26" s="41">
        <v>47.7</v>
      </c>
      <c r="Z26" s="41">
        <v>48</v>
      </c>
      <c r="AA26" s="41">
        <v>15.9</v>
      </c>
      <c r="AB26" s="41">
        <v>14.4</v>
      </c>
      <c r="AC26" s="41">
        <v>15.4</v>
      </c>
      <c r="AD26" s="41">
        <v>93.7</v>
      </c>
      <c r="AE26" s="56">
        <v>93.6</v>
      </c>
      <c r="AF26" s="41">
        <v>94.5</v>
      </c>
      <c r="AG26" s="41">
        <v>8.1999999999999993</v>
      </c>
      <c r="AH26" s="41">
        <v>12</v>
      </c>
      <c r="AI26" s="41">
        <v>8.8000000000000007</v>
      </c>
      <c r="AJ26" s="57">
        <v>82.1</v>
      </c>
      <c r="AK26" s="57">
        <v>51.2</v>
      </c>
      <c r="AL26" s="57">
        <v>47.8</v>
      </c>
      <c r="AM26" s="57">
        <v>85.7</v>
      </c>
      <c r="AN26" s="57">
        <v>67.099999999999994</v>
      </c>
      <c r="AO26" s="57">
        <v>63.4</v>
      </c>
      <c r="AP26" s="58">
        <v>1.73</v>
      </c>
      <c r="AQ26" s="58">
        <v>1.48</v>
      </c>
      <c r="AR26" s="58">
        <v>1.43</v>
      </c>
      <c r="AS26" s="41">
        <v>17.399999999999999</v>
      </c>
      <c r="AT26" s="41">
        <v>20.9</v>
      </c>
      <c r="AU26" s="41">
        <v>21.4</v>
      </c>
      <c r="AV26" s="41">
        <v>27.6</v>
      </c>
      <c r="AW26" s="56">
        <v>44.8</v>
      </c>
      <c r="AX26" s="59">
        <v>50.5</v>
      </c>
      <c r="AY26" s="41">
        <v>58.6</v>
      </c>
      <c r="AZ26" s="56">
        <v>30.7</v>
      </c>
      <c r="BA26" s="59">
        <v>29.5</v>
      </c>
      <c r="BB26" s="41">
        <v>6.9</v>
      </c>
      <c r="BC26" s="56">
        <v>15.7</v>
      </c>
      <c r="BD26" s="32">
        <v>9.5</v>
      </c>
      <c r="BH26" s="41">
        <v>0</v>
      </c>
      <c r="BI26" s="41">
        <v>1.8</v>
      </c>
      <c r="BJ26" s="32">
        <v>1.2</v>
      </c>
      <c r="BK26" s="32">
        <v>68.8</v>
      </c>
      <c r="BL26" s="32">
        <v>83</v>
      </c>
      <c r="BM26" s="32">
        <v>83.3</v>
      </c>
      <c r="BN26" s="32">
        <v>75</v>
      </c>
      <c r="BO26" s="32">
        <v>85.5</v>
      </c>
      <c r="BP26" s="32">
        <v>83.3</v>
      </c>
      <c r="BQ26" s="41">
        <v>80</v>
      </c>
      <c r="BR26" s="32">
        <v>77.7</v>
      </c>
      <c r="BS26" s="32">
        <v>75.400000000000006</v>
      </c>
      <c r="BT26" s="32">
        <v>90.3</v>
      </c>
      <c r="BU26" s="32">
        <v>89.2</v>
      </c>
      <c r="BV26" s="32">
        <v>87.6</v>
      </c>
      <c r="BW26" s="41">
        <v>-0.90000000000000602</v>
      </c>
      <c r="BX26" s="41">
        <v>-6.5</v>
      </c>
      <c r="BY26" s="41">
        <v>-5.8999999999999897</v>
      </c>
      <c r="BZ26" s="41">
        <v>10.8</v>
      </c>
      <c r="CA26" s="41">
        <v>11</v>
      </c>
      <c r="CB26" s="41">
        <v>11.2</v>
      </c>
      <c r="CC26" s="57" t="s">
        <v>306</v>
      </c>
      <c r="CD26" s="57" t="s">
        <v>306</v>
      </c>
      <c r="CE26" s="57" t="s">
        <v>306</v>
      </c>
      <c r="CF26" s="32">
        <v>13.13</v>
      </c>
      <c r="CG26" s="32">
        <v>14.625</v>
      </c>
      <c r="CH26" s="32">
        <v>14.55</v>
      </c>
      <c r="CI26" s="32"/>
      <c r="CJ26" s="32"/>
      <c r="CK26" s="32"/>
      <c r="CL26" s="57" t="s">
        <v>306</v>
      </c>
      <c r="CM26" s="55" t="s">
        <v>306</v>
      </c>
      <c r="CN26" s="55" t="s">
        <v>306</v>
      </c>
      <c r="CO26" s="41">
        <v>29.2</v>
      </c>
      <c r="CP26" s="41">
        <v>51.5</v>
      </c>
      <c r="CQ26" s="41">
        <v>75.5</v>
      </c>
      <c r="CR26" s="41">
        <v>7.9</v>
      </c>
      <c r="CS26" s="41">
        <v>6.1</v>
      </c>
      <c r="CT26" s="41">
        <v>5.7</v>
      </c>
      <c r="CU26" s="56">
        <v>41.8</v>
      </c>
      <c r="CV26" s="56">
        <v>44.4</v>
      </c>
      <c r="CW26" s="56">
        <v>43.5</v>
      </c>
      <c r="CX26" s="32" t="str">
        <f t="shared" si="0"/>
        <v>9830392J</v>
      </c>
      <c r="CY26" s="41" t="s">
        <v>306</v>
      </c>
      <c r="CZ26" s="41" t="s">
        <v>306</v>
      </c>
      <c r="DA26" s="41" t="s">
        <v>306</v>
      </c>
      <c r="DD26" s="60"/>
    </row>
    <row r="27" spans="1:108">
      <c r="A27" s="30" t="s">
        <v>158</v>
      </c>
      <c r="B27" s="30" t="s">
        <v>72</v>
      </c>
      <c r="C27" s="30" t="s">
        <v>100</v>
      </c>
      <c r="D27" s="30" t="s">
        <v>123</v>
      </c>
      <c r="E27" s="30" t="s">
        <v>109</v>
      </c>
      <c r="F27" s="31">
        <v>131</v>
      </c>
      <c r="G27" s="31" t="s">
        <v>10</v>
      </c>
      <c r="H27" s="31" t="s">
        <v>10</v>
      </c>
      <c r="I27" s="31">
        <v>72</v>
      </c>
      <c r="J27" s="55" t="s">
        <v>10</v>
      </c>
      <c r="K27" s="55" t="s">
        <v>10</v>
      </c>
      <c r="L27" s="31">
        <v>71</v>
      </c>
      <c r="M27" s="55" t="s">
        <v>10</v>
      </c>
      <c r="N27" s="55" t="s">
        <v>10</v>
      </c>
      <c r="O27" s="31">
        <v>68</v>
      </c>
      <c r="P27" s="55" t="s">
        <v>10</v>
      </c>
      <c r="Q27" s="55" t="s">
        <v>10</v>
      </c>
      <c r="R27" s="55">
        <f>VLOOKUP($B27,Extract_R_20_10_25!$B$2:$H$75,2,FALSE)</f>
        <v>70</v>
      </c>
      <c r="S27" s="31">
        <f>VLOOKUP($B27,Extract_R_20_10_25!$B$2:$H$75,3,FALSE)</f>
        <v>0</v>
      </c>
      <c r="T27" s="55">
        <f>VLOOKUP($B27,Extract_R_20_10_25!$B$2:$H$75,4,FALSE)</f>
        <v>0</v>
      </c>
      <c r="U27" s="41">
        <v>164.1</v>
      </c>
      <c r="V27" s="41">
        <v>150.80000000000001</v>
      </c>
      <c r="W27" s="41">
        <v>137.9</v>
      </c>
      <c r="X27" s="41">
        <v>70.599999999999994</v>
      </c>
      <c r="Y27" s="41">
        <v>47.7</v>
      </c>
      <c r="Z27" s="41">
        <v>48</v>
      </c>
      <c r="AA27" s="41">
        <v>5.9</v>
      </c>
      <c r="AB27" s="41">
        <v>14.4</v>
      </c>
      <c r="AC27" s="41">
        <v>15.4</v>
      </c>
      <c r="AD27" s="41">
        <v>80.400000000000006</v>
      </c>
      <c r="AE27" s="56">
        <v>93.6</v>
      </c>
      <c r="AF27" s="41">
        <v>94.5</v>
      </c>
      <c r="AG27" s="41">
        <v>16.7</v>
      </c>
      <c r="AH27" s="41">
        <v>12</v>
      </c>
      <c r="AI27" s="41">
        <v>8.8000000000000007</v>
      </c>
      <c r="AJ27" s="57">
        <v>78.599999999999994</v>
      </c>
      <c r="AK27" s="57">
        <v>51.2</v>
      </c>
      <c r="AL27" s="57">
        <v>47.8</v>
      </c>
      <c r="AM27" s="57">
        <v>100</v>
      </c>
      <c r="AN27" s="57">
        <v>67.099999999999994</v>
      </c>
      <c r="AO27" s="57">
        <v>63.4</v>
      </c>
      <c r="AP27" s="58">
        <v>1.79</v>
      </c>
      <c r="AQ27" s="58">
        <v>1.48</v>
      </c>
      <c r="AR27" s="58">
        <v>1.43</v>
      </c>
      <c r="AS27" s="41">
        <v>17</v>
      </c>
      <c r="AT27" s="41">
        <v>20.9</v>
      </c>
      <c r="AU27" s="41">
        <v>21.4</v>
      </c>
      <c r="AV27" s="41">
        <v>18.8</v>
      </c>
      <c r="AW27" s="56">
        <v>44.8</v>
      </c>
      <c r="AX27" s="59">
        <v>50.5</v>
      </c>
      <c r="AY27" s="41">
        <v>56.2</v>
      </c>
      <c r="AZ27" s="56">
        <v>30.7</v>
      </c>
      <c r="BA27" s="59">
        <v>29.5</v>
      </c>
      <c r="BB27" s="41">
        <v>25</v>
      </c>
      <c r="BC27" s="56">
        <v>15.7</v>
      </c>
      <c r="BD27" s="32">
        <v>9.5</v>
      </c>
      <c r="BH27" s="41">
        <v>0</v>
      </c>
      <c r="BI27" s="41">
        <v>1.8</v>
      </c>
      <c r="BJ27" s="32">
        <v>1.2</v>
      </c>
      <c r="BK27" s="32">
        <v>14.3</v>
      </c>
      <c r="BL27" s="32">
        <v>83</v>
      </c>
      <c r="BM27" s="32">
        <v>83.3</v>
      </c>
      <c r="BN27" s="32">
        <v>50</v>
      </c>
      <c r="BO27" s="32">
        <v>85.5</v>
      </c>
      <c r="BP27" s="32">
        <v>83.3</v>
      </c>
      <c r="BQ27" s="41">
        <v>42.9</v>
      </c>
      <c r="BR27" s="32">
        <v>77.7</v>
      </c>
      <c r="BS27" s="32">
        <v>75.400000000000006</v>
      </c>
      <c r="BT27" s="32">
        <v>100</v>
      </c>
      <c r="BU27" s="32">
        <v>89.2</v>
      </c>
      <c r="BV27" s="32">
        <v>87.6</v>
      </c>
      <c r="BW27" s="41">
        <v>0</v>
      </c>
      <c r="BX27" s="41">
        <v>-6.5</v>
      </c>
      <c r="BY27" s="41">
        <v>-5.8999999999999897</v>
      </c>
      <c r="BZ27" s="41">
        <v>12.5</v>
      </c>
      <c r="CA27" s="41">
        <v>11</v>
      </c>
      <c r="CB27" s="41">
        <v>11.2</v>
      </c>
      <c r="CC27" s="57" t="s">
        <v>306</v>
      </c>
      <c r="CD27" s="57" t="s">
        <v>306</v>
      </c>
      <c r="CE27" s="57" t="s">
        <v>306</v>
      </c>
      <c r="CF27" s="32">
        <v>14.33</v>
      </c>
      <c r="CG27" s="32">
        <v>14.625</v>
      </c>
      <c r="CH27" s="32">
        <v>14.55</v>
      </c>
      <c r="CI27" s="32"/>
      <c r="CJ27" s="32"/>
      <c r="CK27" s="32"/>
      <c r="CL27" s="57" t="s">
        <v>306</v>
      </c>
      <c r="CM27" s="55" t="s">
        <v>306</v>
      </c>
      <c r="CN27" s="55" t="s">
        <v>306</v>
      </c>
      <c r="CO27" s="41">
        <v>29.6</v>
      </c>
      <c r="CP27" s="41">
        <v>51.5</v>
      </c>
      <c r="CQ27" s="41">
        <v>75.5</v>
      </c>
      <c r="CR27" s="41">
        <v>5.7</v>
      </c>
      <c r="CS27" s="41">
        <v>6.1</v>
      </c>
      <c r="CT27" s="41">
        <v>5.7</v>
      </c>
      <c r="CU27" s="56">
        <v>41.4</v>
      </c>
      <c r="CV27" s="56">
        <v>44.4</v>
      </c>
      <c r="CW27" s="56">
        <v>43.5</v>
      </c>
      <c r="CX27" s="32" t="str">
        <f t="shared" si="0"/>
        <v>9830400T</v>
      </c>
      <c r="CY27" s="41" t="s">
        <v>306</v>
      </c>
      <c r="CZ27" s="41" t="s">
        <v>306</v>
      </c>
      <c r="DA27" s="41" t="s">
        <v>306</v>
      </c>
      <c r="DD27" s="60"/>
    </row>
    <row r="28" spans="1:108">
      <c r="A28" s="30" t="s">
        <v>159</v>
      </c>
      <c r="B28" s="30" t="s">
        <v>73</v>
      </c>
      <c r="C28" s="30" t="s">
        <v>24</v>
      </c>
      <c r="D28" s="30" t="s">
        <v>122</v>
      </c>
      <c r="E28" s="30" t="s">
        <v>108</v>
      </c>
      <c r="F28" s="31">
        <v>192</v>
      </c>
      <c r="G28" s="31" t="s">
        <v>10</v>
      </c>
      <c r="H28" s="31" t="s">
        <v>10</v>
      </c>
      <c r="I28" s="31">
        <v>140</v>
      </c>
      <c r="J28" s="55" t="s">
        <v>10</v>
      </c>
      <c r="K28" s="55" t="s">
        <v>10</v>
      </c>
      <c r="L28" s="31">
        <v>143</v>
      </c>
      <c r="M28" s="55" t="s">
        <v>10</v>
      </c>
      <c r="N28" s="55" t="s">
        <v>10</v>
      </c>
      <c r="O28" s="31">
        <v>151</v>
      </c>
      <c r="P28" s="55" t="s">
        <v>10</v>
      </c>
      <c r="Q28" s="55" t="s">
        <v>10</v>
      </c>
      <c r="R28" s="55">
        <f>VLOOKUP($B28,Extract_R_20_10_25!$B$2:$H$75,2,FALSE)</f>
        <v>149</v>
      </c>
      <c r="S28" s="31">
        <f>VLOOKUP($B28,Extract_R_20_10_25!$B$2:$H$75,3,FALSE)</f>
        <v>0</v>
      </c>
      <c r="T28" s="55">
        <f>VLOOKUP($B28,Extract_R_20_10_25!$B$2:$H$75,4,FALSE)</f>
        <v>0</v>
      </c>
      <c r="U28" s="41">
        <v>198</v>
      </c>
      <c r="V28" s="41">
        <v>129.69999999999999</v>
      </c>
      <c r="W28" s="41">
        <v>137.9</v>
      </c>
      <c r="X28" s="41">
        <v>60.9</v>
      </c>
      <c r="Y28" s="41">
        <v>48.1</v>
      </c>
      <c r="Z28" s="41">
        <v>48</v>
      </c>
      <c r="AA28" s="41">
        <v>9.3000000000000007</v>
      </c>
      <c r="AB28" s="41">
        <v>15.7</v>
      </c>
      <c r="AC28" s="41">
        <v>15.4</v>
      </c>
      <c r="AD28" s="41">
        <v>80</v>
      </c>
      <c r="AE28" s="56">
        <v>94.7</v>
      </c>
      <c r="AF28" s="41">
        <v>94.5</v>
      </c>
      <c r="AG28" s="41">
        <v>11.4</v>
      </c>
      <c r="AH28" s="41">
        <v>8</v>
      </c>
      <c r="AI28" s="41">
        <v>8.8000000000000007</v>
      </c>
      <c r="AJ28" s="57">
        <v>86.4</v>
      </c>
      <c r="AK28" s="57">
        <v>46.7</v>
      </c>
      <c r="AL28" s="57">
        <v>47.8</v>
      </c>
      <c r="AM28" s="57">
        <v>95.5</v>
      </c>
      <c r="AN28" s="57">
        <v>62.3</v>
      </c>
      <c r="AO28" s="57">
        <v>63.4</v>
      </c>
      <c r="AP28" s="58">
        <v>1.58</v>
      </c>
      <c r="AQ28" s="58">
        <v>1.42</v>
      </c>
      <c r="AR28" s="58">
        <v>1.43</v>
      </c>
      <c r="AS28" s="41">
        <v>18.899999999999999</v>
      </c>
      <c r="AT28" s="41">
        <v>21.5</v>
      </c>
      <c r="AU28" s="41">
        <v>21.4</v>
      </c>
      <c r="AV28" s="41">
        <v>31</v>
      </c>
      <c r="AW28" s="56">
        <v>52.3</v>
      </c>
      <c r="AX28" s="59">
        <v>50.5</v>
      </c>
      <c r="AY28" s="41">
        <v>62.1</v>
      </c>
      <c r="AZ28" s="56">
        <v>29.1</v>
      </c>
      <c r="BA28" s="59">
        <v>29.5</v>
      </c>
      <c r="BB28" s="41">
        <v>3.4</v>
      </c>
      <c r="BC28" s="56">
        <v>7.7</v>
      </c>
      <c r="BD28" s="32">
        <v>9.5</v>
      </c>
      <c r="BH28" s="41">
        <v>0</v>
      </c>
      <c r="BI28" s="41">
        <v>1</v>
      </c>
      <c r="BJ28" s="32">
        <v>1.2</v>
      </c>
      <c r="BK28" s="32">
        <v>83.3</v>
      </c>
      <c r="BL28" s="32">
        <v>83.4</v>
      </c>
      <c r="BM28" s="32">
        <v>83.3</v>
      </c>
      <c r="BN28" s="32">
        <v>69.599999999999994</v>
      </c>
      <c r="BO28" s="32">
        <v>82.7</v>
      </c>
      <c r="BP28" s="32">
        <v>83.3</v>
      </c>
      <c r="BQ28" s="41">
        <v>75</v>
      </c>
      <c r="BR28" s="32">
        <v>74.2</v>
      </c>
      <c r="BS28" s="32">
        <v>75.400000000000006</v>
      </c>
      <c r="BT28" s="32">
        <v>97.1</v>
      </c>
      <c r="BU28" s="32">
        <v>87.1</v>
      </c>
      <c r="BV28" s="32">
        <v>87.6</v>
      </c>
      <c r="BW28" s="41">
        <v>5.9000000000000101</v>
      </c>
      <c r="BX28" s="41">
        <v>-5.8</v>
      </c>
      <c r="BY28" s="41">
        <v>-5.8999999999999897</v>
      </c>
      <c r="BZ28" s="41">
        <v>10.6</v>
      </c>
      <c r="CA28" s="41">
        <v>11.3</v>
      </c>
      <c r="CB28" s="41">
        <v>11.2</v>
      </c>
      <c r="CC28" s="57" t="s">
        <v>306</v>
      </c>
      <c r="CD28" s="57" t="s">
        <v>306</v>
      </c>
      <c r="CE28" s="57" t="s">
        <v>306</v>
      </c>
      <c r="CF28" s="32">
        <v>14.34</v>
      </c>
      <c r="CG28" s="32">
        <v>14.525</v>
      </c>
      <c r="CH28" s="32">
        <v>14.55</v>
      </c>
      <c r="CI28" s="32"/>
      <c r="CJ28" s="32"/>
      <c r="CK28" s="32"/>
      <c r="CL28" s="41" t="s">
        <v>306</v>
      </c>
      <c r="CM28" s="31" t="s">
        <v>306</v>
      </c>
      <c r="CN28" s="55" t="s">
        <v>306</v>
      </c>
      <c r="CO28" s="41">
        <v>64.400000000000006</v>
      </c>
      <c r="CP28" s="41">
        <v>82.5</v>
      </c>
      <c r="CQ28" s="41">
        <v>75.5</v>
      </c>
      <c r="CR28" s="41">
        <v>2.4</v>
      </c>
      <c r="CS28" s="41">
        <v>5.5</v>
      </c>
      <c r="CT28" s="41">
        <v>5.7</v>
      </c>
      <c r="CU28" s="56">
        <v>41.6</v>
      </c>
      <c r="CV28" s="56">
        <v>43.2</v>
      </c>
      <c r="CW28" s="56">
        <v>43.5</v>
      </c>
      <c r="CX28" s="32" t="str">
        <f t="shared" si="0"/>
        <v>9830414H</v>
      </c>
      <c r="CY28" s="41" t="s">
        <v>306</v>
      </c>
      <c r="CZ28" s="41" t="s">
        <v>306</v>
      </c>
      <c r="DA28" s="41" t="s">
        <v>306</v>
      </c>
      <c r="DD28" s="60"/>
    </row>
    <row r="29" spans="1:108">
      <c r="A29" s="30" t="s">
        <v>160</v>
      </c>
      <c r="B29" s="30" t="s">
        <v>74</v>
      </c>
      <c r="C29" s="30" t="s">
        <v>24</v>
      </c>
      <c r="D29" s="30" t="s">
        <v>116</v>
      </c>
      <c r="E29" s="30" t="s">
        <v>108</v>
      </c>
      <c r="F29" s="31">
        <v>124</v>
      </c>
      <c r="G29" s="31">
        <v>23</v>
      </c>
      <c r="H29" s="31">
        <v>13</v>
      </c>
      <c r="I29" s="31">
        <v>131</v>
      </c>
      <c r="J29" s="55">
        <v>29</v>
      </c>
      <c r="K29" s="55" t="s">
        <v>10</v>
      </c>
      <c r="L29" s="31">
        <v>142</v>
      </c>
      <c r="M29" s="55">
        <v>28</v>
      </c>
      <c r="N29" s="55" t="s">
        <v>10</v>
      </c>
      <c r="O29" s="31">
        <v>147</v>
      </c>
      <c r="P29" s="55">
        <v>27</v>
      </c>
      <c r="Q29" s="55" t="s">
        <v>10</v>
      </c>
      <c r="R29" s="55">
        <f>VLOOKUP($B29,Extract_R_20_10_25!$B$2:$H$75,2,FALSE)</f>
        <v>154</v>
      </c>
      <c r="S29" s="31">
        <f>VLOOKUP($B29,Extract_R_20_10_25!$B$2:$H$75,3,FALSE)</f>
        <v>31</v>
      </c>
      <c r="T29" s="55">
        <f>VLOOKUP($B29,Extract_R_20_10_25!$B$2:$H$75,4,FALSE)</f>
        <v>0</v>
      </c>
      <c r="U29" s="41">
        <v>146.19999999999999</v>
      </c>
      <c r="V29" s="41">
        <v>129.69999999999999</v>
      </c>
      <c r="W29" s="41">
        <v>137.9</v>
      </c>
      <c r="X29" s="41">
        <v>71.3</v>
      </c>
      <c r="Y29" s="41">
        <v>48.1</v>
      </c>
      <c r="Z29" s="41">
        <v>48</v>
      </c>
      <c r="AA29" s="41">
        <v>5.2</v>
      </c>
      <c r="AB29" s="41">
        <v>15.7</v>
      </c>
      <c r="AC29" s="41">
        <v>15.4</v>
      </c>
      <c r="AD29" s="41">
        <v>75.7</v>
      </c>
      <c r="AE29" s="56">
        <v>94.7</v>
      </c>
      <c r="AF29" s="41">
        <v>94.5</v>
      </c>
      <c r="AG29" s="41">
        <v>2.2999999999999998</v>
      </c>
      <c r="AH29" s="41">
        <v>8</v>
      </c>
      <c r="AI29" s="41">
        <v>8.8000000000000007</v>
      </c>
      <c r="AJ29" s="57">
        <v>91.1</v>
      </c>
      <c r="AK29" s="57">
        <v>46.7</v>
      </c>
      <c r="AL29" s="57">
        <v>47.8</v>
      </c>
      <c r="AM29" s="57">
        <v>97.8</v>
      </c>
      <c r="AN29" s="57">
        <v>62.3</v>
      </c>
      <c r="AO29" s="57">
        <v>63.4</v>
      </c>
      <c r="AP29" s="58">
        <v>2.06</v>
      </c>
      <c r="AQ29" s="58">
        <v>1.42</v>
      </c>
      <c r="AR29" s="58">
        <v>1.43</v>
      </c>
      <c r="AS29" s="41">
        <v>15.2</v>
      </c>
      <c r="AT29" s="41">
        <v>21.5</v>
      </c>
      <c r="AU29" s="41">
        <v>21.4</v>
      </c>
      <c r="AV29" s="41">
        <v>19.399999999999999</v>
      </c>
      <c r="AW29" s="56">
        <v>52.3</v>
      </c>
      <c r="AX29" s="59">
        <v>50.5</v>
      </c>
      <c r="AY29" s="41">
        <v>33.299999999999997</v>
      </c>
      <c r="AZ29" s="56">
        <v>29.1</v>
      </c>
      <c r="BA29" s="59">
        <v>29.5</v>
      </c>
      <c r="BB29" s="41">
        <v>13.9</v>
      </c>
      <c r="BC29" s="56">
        <v>7.7</v>
      </c>
      <c r="BD29" s="32">
        <v>9.5</v>
      </c>
      <c r="BH29" s="41">
        <v>0</v>
      </c>
      <c r="BI29" s="41">
        <v>1</v>
      </c>
      <c r="BJ29" s="32">
        <v>1.2</v>
      </c>
      <c r="BK29" s="32">
        <v>100</v>
      </c>
      <c r="BL29" s="32">
        <v>83.4</v>
      </c>
      <c r="BM29" s="32">
        <v>83.3</v>
      </c>
      <c r="BN29" s="32">
        <v>81.8</v>
      </c>
      <c r="BO29" s="32">
        <v>82.7</v>
      </c>
      <c r="BP29" s="32">
        <v>83.3</v>
      </c>
      <c r="BQ29" s="41">
        <v>77.8</v>
      </c>
      <c r="BR29" s="32">
        <v>74.2</v>
      </c>
      <c r="BS29" s="32">
        <v>75.400000000000006</v>
      </c>
      <c r="BT29" s="32">
        <v>77.8</v>
      </c>
      <c r="BU29" s="32">
        <v>87.1</v>
      </c>
      <c r="BV29" s="32">
        <v>87.6</v>
      </c>
      <c r="BW29" s="41">
        <v>4.2</v>
      </c>
      <c r="BX29" s="41">
        <v>-5.8</v>
      </c>
      <c r="BY29" s="41">
        <v>-5.8999999999999897</v>
      </c>
      <c r="BZ29" s="41">
        <v>9</v>
      </c>
      <c r="CA29" s="41">
        <v>11.3</v>
      </c>
      <c r="CB29" s="41">
        <v>11.2</v>
      </c>
      <c r="CC29" s="57" t="s">
        <v>306</v>
      </c>
      <c r="CD29" s="57" t="s">
        <v>306</v>
      </c>
      <c r="CE29" s="57" t="s">
        <v>306</v>
      </c>
      <c r="CF29" s="32">
        <v>12.664999999999999</v>
      </c>
      <c r="CG29" s="32">
        <v>14.525</v>
      </c>
      <c r="CH29" s="32">
        <v>14.55</v>
      </c>
      <c r="CI29" s="32"/>
      <c r="CJ29" s="32"/>
      <c r="CK29" s="32"/>
      <c r="CL29" s="41" t="s">
        <v>306</v>
      </c>
      <c r="CM29" s="31" t="s">
        <v>306</v>
      </c>
      <c r="CN29" s="55" t="s">
        <v>306</v>
      </c>
      <c r="CO29" s="41">
        <v>54.6</v>
      </c>
      <c r="CP29" s="41">
        <v>82.5</v>
      </c>
      <c r="CQ29" s="41">
        <v>75.5</v>
      </c>
      <c r="CR29" s="41">
        <v>2.7</v>
      </c>
      <c r="CS29" s="41">
        <v>5.5</v>
      </c>
      <c r="CT29" s="41">
        <v>5.7</v>
      </c>
      <c r="CU29" s="56">
        <v>46.1</v>
      </c>
      <c r="CV29" s="56">
        <v>43.2</v>
      </c>
      <c r="CW29" s="56">
        <v>43.5</v>
      </c>
      <c r="CX29" s="32" t="str">
        <f t="shared" si="0"/>
        <v>9830418M</v>
      </c>
      <c r="CY29" s="41" t="s">
        <v>306</v>
      </c>
      <c r="CZ29" s="41" t="s">
        <v>306</v>
      </c>
      <c r="DA29" s="41" t="s">
        <v>306</v>
      </c>
      <c r="DD29" s="60"/>
    </row>
    <row r="30" spans="1:108">
      <c r="A30" s="30" t="s">
        <v>161</v>
      </c>
      <c r="B30" s="30" t="s">
        <v>75</v>
      </c>
      <c r="C30" s="30" t="s">
        <v>24</v>
      </c>
      <c r="D30" s="30" t="s">
        <v>125</v>
      </c>
      <c r="E30" s="30" t="s">
        <v>108</v>
      </c>
      <c r="F30" s="31">
        <v>245</v>
      </c>
      <c r="G30" s="31" t="s">
        <v>10</v>
      </c>
      <c r="H30" s="31" t="s">
        <v>10</v>
      </c>
      <c r="I30" s="31">
        <v>263</v>
      </c>
      <c r="J30" s="55" t="s">
        <v>10</v>
      </c>
      <c r="K30" s="55" t="s">
        <v>10</v>
      </c>
      <c r="L30" s="31">
        <v>270</v>
      </c>
      <c r="M30" s="55" t="s">
        <v>10</v>
      </c>
      <c r="N30" s="55" t="s">
        <v>10</v>
      </c>
      <c r="O30" s="31">
        <v>290</v>
      </c>
      <c r="P30" s="55" t="s">
        <v>10</v>
      </c>
      <c r="Q30" s="55" t="s">
        <v>10</v>
      </c>
      <c r="R30" s="55">
        <f>VLOOKUP($B30,Extract_R_20_10_25!$B$2:$H$75,2,FALSE)</f>
        <v>288</v>
      </c>
      <c r="S30" s="31">
        <f>VLOOKUP($B30,Extract_R_20_10_25!$B$2:$H$75,3,FALSE)</f>
        <v>0</v>
      </c>
      <c r="T30" s="55">
        <f>VLOOKUP($B30,Extract_R_20_10_25!$B$2:$H$75,4,FALSE)</f>
        <v>0</v>
      </c>
      <c r="U30" s="41">
        <v>157.6</v>
      </c>
      <c r="V30" s="41">
        <v>129.69999999999999</v>
      </c>
      <c r="W30" s="41">
        <v>137.9</v>
      </c>
      <c r="X30" s="41">
        <v>82</v>
      </c>
      <c r="Y30" s="41">
        <v>48.1</v>
      </c>
      <c r="Z30" s="41">
        <v>48</v>
      </c>
      <c r="AA30" s="41">
        <v>3.8</v>
      </c>
      <c r="AB30" s="41">
        <v>15.7</v>
      </c>
      <c r="AC30" s="41">
        <v>15.4</v>
      </c>
      <c r="AD30" s="41">
        <v>71.900000000000006</v>
      </c>
      <c r="AE30" s="56">
        <v>94.7</v>
      </c>
      <c r="AF30" s="41">
        <v>94.5</v>
      </c>
      <c r="AG30" s="41">
        <v>11</v>
      </c>
      <c r="AH30" s="41">
        <v>8</v>
      </c>
      <c r="AI30" s="41">
        <v>8.8000000000000007</v>
      </c>
      <c r="AJ30" s="57">
        <v>65.400000000000006</v>
      </c>
      <c r="AK30" s="57">
        <v>46.7</v>
      </c>
      <c r="AL30" s="57">
        <v>47.8</v>
      </c>
      <c r="AM30" s="57">
        <v>92.5</v>
      </c>
      <c r="AN30" s="57">
        <v>62.3</v>
      </c>
      <c r="AO30" s="57">
        <v>63.4</v>
      </c>
      <c r="AP30" s="58">
        <v>1.59</v>
      </c>
      <c r="AQ30" s="58">
        <v>1.42</v>
      </c>
      <c r="AR30" s="58">
        <v>1.43</v>
      </c>
      <c r="AS30" s="41">
        <v>19.3</v>
      </c>
      <c r="AT30" s="41">
        <v>21.5</v>
      </c>
      <c r="AU30" s="41">
        <v>21.4</v>
      </c>
      <c r="AV30" s="41">
        <v>40</v>
      </c>
      <c r="AW30" s="56">
        <v>52.3</v>
      </c>
      <c r="AX30" s="59">
        <v>50.5</v>
      </c>
      <c r="AY30" s="41">
        <v>38.5</v>
      </c>
      <c r="AZ30" s="56">
        <v>29.1</v>
      </c>
      <c r="BA30" s="59">
        <v>29.5</v>
      </c>
      <c r="BB30" s="41">
        <v>10.8</v>
      </c>
      <c r="BC30" s="56">
        <v>7.7</v>
      </c>
      <c r="BD30" s="32">
        <v>9.5</v>
      </c>
      <c r="BH30" s="41">
        <v>1.5</v>
      </c>
      <c r="BI30" s="41">
        <v>1</v>
      </c>
      <c r="BJ30" s="32">
        <v>1.2</v>
      </c>
      <c r="BK30" s="32">
        <v>62.5</v>
      </c>
      <c r="BL30" s="32">
        <v>83.4</v>
      </c>
      <c r="BM30" s="32">
        <v>83.3</v>
      </c>
      <c r="BN30" s="32">
        <v>88.2</v>
      </c>
      <c r="BO30" s="32">
        <v>82.7</v>
      </c>
      <c r="BP30" s="32">
        <v>83.3</v>
      </c>
      <c r="BQ30" s="41">
        <v>62.5</v>
      </c>
      <c r="BR30" s="32">
        <v>74.2</v>
      </c>
      <c r="BS30" s="32">
        <v>75.400000000000006</v>
      </c>
      <c r="BT30" s="32">
        <v>87.5</v>
      </c>
      <c r="BU30" s="32">
        <v>87.1</v>
      </c>
      <c r="BV30" s="32">
        <v>87.6</v>
      </c>
      <c r="BW30" s="41">
        <v>0</v>
      </c>
      <c r="BX30" s="41">
        <v>-5.8</v>
      </c>
      <c r="BY30" s="41">
        <v>-5.8999999999999897</v>
      </c>
      <c r="BZ30" s="41">
        <v>8.3000000000000007</v>
      </c>
      <c r="CA30" s="41">
        <v>11.3</v>
      </c>
      <c r="CB30" s="41">
        <v>11.2</v>
      </c>
      <c r="CC30" s="57" t="s">
        <v>306</v>
      </c>
      <c r="CD30" s="57" t="s">
        <v>306</v>
      </c>
      <c r="CE30" s="57" t="s">
        <v>306</v>
      </c>
      <c r="CF30" s="32">
        <v>14.135</v>
      </c>
      <c r="CG30" s="32">
        <v>14.525</v>
      </c>
      <c r="CH30" s="32">
        <v>14.55</v>
      </c>
      <c r="CI30" s="32"/>
      <c r="CJ30" s="32"/>
      <c r="CK30" s="32"/>
      <c r="CL30" s="41" t="s">
        <v>306</v>
      </c>
      <c r="CM30" s="31" t="s">
        <v>306</v>
      </c>
      <c r="CN30" s="55" t="s">
        <v>306</v>
      </c>
      <c r="CO30" s="41">
        <v>50.1</v>
      </c>
      <c r="CP30" s="41">
        <v>82.5</v>
      </c>
      <c r="CQ30" s="41">
        <v>75.5</v>
      </c>
      <c r="CR30" s="41">
        <v>2.9</v>
      </c>
      <c r="CS30" s="41">
        <v>5.5</v>
      </c>
      <c r="CT30" s="41">
        <v>5.7</v>
      </c>
      <c r="CU30" s="56">
        <v>42.4</v>
      </c>
      <c r="CV30" s="56">
        <v>43.2</v>
      </c>
      <c r="CW30" s="56">
        <v>43.5</v>
      </c>
      <c r="CX30" s="32" t="str">
        <f t="shared" si="0"/>
        <v>9830419N</v>
      </c>
      <c r="CY30" s="41" t="s">
        <v>306</v>
      </c>
      <c r="CZ30" s="41" t="s">
        <v>306</v>
      </c>
      <c r="DA30" s="41" t="s">
        <v>306</v>
      </c>
      <c r="DD30" s="60"/>
    </row>
    <row r="31" spans="1:108">
      <c r="A31" s="30" t="s">
        <v>162</v>
      </c>
      <c r="B31" s="30" t="s">
        <v>76</v>
      </c>
      <c r="C31" s="30" t="s">
        <v>100</v>
      </c>
      <c r="D31" s="30" t="s">
        <v>123</v>
      </c>
      <c r="E31" s="30" t="s">
        <v>109</v>
      </c>
      <c r="F31" s="31">
        <v>164</v>
      </c>
      <c r="G31" s="31" t="s">
        <v>10</v>
      </c>
      <c r="H31" s="31" t="s">
        <v>10</v>
      </c>
      <c r="I31" s="31">
        <v>90</v>
      </c>
      <c r="J31" s="55" t="s">
        <v>10</v>
      </c>
      <c r="K31" s="55" t="s">
        <v>10</v>
      </c>
      <c r="L31" s="31">
        <v>93</v>
      </c>
      <c r="M31" s="55" t="s">
        <v>10</v>
      </c>
      <c r="N31" s="55" t="s">
        <v>10</v>
      </c>
      <c r="O31" s="31">
        <v>96</v>
      </c>
      <c r="P31" s="55" t="s">
        <v>10</v>
      </c>
      <c r="Q31" s="55" t="s">
        <v>10</v>
      </c>
      <c r="R31" s="55">
        <f>VLOOKUP($B31,Extract_R_20_10_25!$B$2:$H$75,2,FALSE)</f>
        <v>98</v>
      </c>
      <c r="S31" s="31">
        <f>VLOOKUP($B31,Extract_R_20_10_25!$B$2:$H$75,3,FALSE)</f>
        <v>0</v>
      </c>
      <c r="T31" s="55">
        <f>VLOOKUP($B31,Extract_R_20_10_25!$B$2:$H$75,4,FALSE)</f>
        <v>0</v>
      </c>
      <c r="U31" s="41">
        <v>168.1</v>
      </c>
      <c r="V31" s="41">
        <v>150.80000000000001</v>
      </c>
      <c r="W31" s="41">
        <v>137.9</v>
      </c>
      <c r="X31" s="41">
        <v>33.700000000000003</v>
      </c>
      <c r="Y31" s="41">
        <v>47.7</v>
      </c>
      <c r="Z31" s="41">
        <v>48</v>
      </c>
      <c r="AA31" s="41">
        <v>20</v>
      </c>
      <c r="AB31" s="41">
        <v>14.4</v>
      </c>
      <c r="AC31" s="41">
        <v>15.4</v>
      </c>
      <c r="AD31" s="41">
        <v>103.4</v>
      </c>
      <c r="AE31" s="56">
        <v>93.6</v>
      </c>
      <c r="AF31" s="41">
        <v>94.5</v>
      </c>
      <c r="AG31" s="41">
        <v>14.3</v>
      </c>
      <c r="AH31" s="41">
        <v>12</v>
      </c>
      <c r="AI31" s="41">
        <v>8.8000000000000007</v>
      </c>
      <c r="AJ31" s="57">
        <v>72.7</v>
      </c>
      <c r="AK31" s="57">
        <v>51.2</v>
      </c>
      <c r="AL31" s="57">
        <v>47.8</v>
      </c>
      <c r="AM31" s="57">
        <v>86.4</v>
      </c>
      <c r="AN31" s="57">
        <v>67.099999999999994</v>
      </c>
      <c r="AO31" s="57">
        <v>63.4</v>
      </c>
      <c r="AP31" s="58">
        <v>1.58</v>
      </c>
      <c r="AQ31" s="58">
        <v>1.48</v>
      </c>
      <c r="AR31" s="58">
        <v>1.43</v>
      </c>
      <c r="AS31" s="41">
        <v>19.2</v>
      </c>
      <c r="AT31" s="41">
        <v>20.9</v>
      </c>
      <c r="AU31" s="41">
        <v>21.4</v>
      </c>
      <c r="AV31" s="41">
        <v>32.299999999999997</v>
      </c>
      <c r="AW31" s="56">
        <v>44.8</v>
      </c>
      <c r="AX31" s="59">
        <v>50.5</v>
      </c>
      <c r="AY31" s="41">
        <v>58.1</v>
      </c>
      <c r="AZ31" s="56">
        <v>30.7</v>
      </c>
      <c r="BA31" s="59">
        <v>29.5</v>
      </c>
      <c r="BB31" s="41">
        <v>9.6999999999999993</v>
      </c>
      <c r="BC31" s="56">
        <v>15.7</v>
      </c>
      <c r="BD31" s="32">
        <v>9.5</v>
      </c>
      <c r="BH31" s="41">
        <v>0</v>
      </c>
      <c r="BI31" s="41">
        <v>1.8</v>
      </c>
      <c r="BJ31" s="32">
        <v>1.2</v>
      </c>
      <c r="BK31" s="32">
        <v>85.7</v>
      </c>
      <c r="BL31" s="32">
        <v>83</v>
      </c>
      <c r="BM31" s="32">
        <v>83.3</v>
      </c>
      <c r="BN31" s="32">
        <v>66.7</v>
      </c>
      <c r="BO31" s="32">
        <v>85.5</v>
      </c>
      <c r="BP31" s="32">
        <v>83.3</v>
      </c>
      <c r="BQ31" s="41">
        <v>50</v>
      </c>
      <c r="BR31" s="32">
        <v>77.7</v>
      </c>
      <c r="BS31" s="32">
        <v>75.400000000000006</v>
      </c>
      <c r="BT31" s="32">
        <v>100</v>
      </c>
      <c r="BU31" s="32">
        <v>89.2</v>
      </c>
      <c r="BV31" s="32">
        <v>87.6</v>
      </c>
      <c r="BW31" s="41">
        <v>0</v>
      </c>
      <c r="BX31" s="41">
        <v>-6.5</v>
      </c>
      <c r="BY31" s="41">
        <v>-5.8999999999999897</v>
      </c>
      <c r="BZ31" s="41">
        <v>11.2</v>
      </c>
      <c r="CA31" s="41">
        <v>11</v>
      </c>
      <c r="CB31" s="41">
        <v>11.2</v>
      </c>
      <c r="CC31" s="57" t="s">
        <v>306</v>
      </c>
      <c r="CD31" s="57" t="s">
        <v>306</v>
      </c>
      <c r="CE31" s="57" t="s">
        <v>306</v>
      </c>
      <c r="CF31" s="32">
        <v>16.27</v>
      </c>
      <c r="CG31" s="32">
        <v>14.625</v>
      </c>
      <c r="CH31" s="32">
        <v>14.55</v>
      </c>
      <c r="CI31" s="32"/>
      <c r="CJ31" s="32"/>
      <c r="CK31" s="32"/>
      <c r="CL31" s="55" t="s">
        <v>306</v>
      </c>
      <c r="CM31" s="55" t="s">
        <v>306</v>
      </c>
      <c r="CN31" s="55" t="s">
        <v>306</v>
      </c>
      <c r="CO31" s="41">
        <v>43.8</v>
      </c>
      <c r="CP31" s="41">
        <v>51.5</v>
      </c>
      <c r="CQ31" s="41">
        <v>75.5</v>
      </c>
      <c r="CR31" s="41">
        <v>6.5</v>
      </c>
      <c r="CS31" s="41">
        <v>6.1</v>
      </c>
      <c r="CT31" s="41">
        <v>5.7</v>
      </c>
      <c r="CU31" s="56">
        <v>46.5</v>
      </c>
      <c r="CV31" s="56">
        <v>44.4</v>
      </c>
      <c r="CW31" s="56">
        <v>43.5</v>
      </c>
      <c r="CX31" s="32" t="str">
        <f t="shared" si="0"/>
        <v>9830420P</v>
      </c>
      <c r="CY31" s="41" t="s">
        <v>306</v>
      </c>
      <c r="CZ31" s="41" t="s">
        <v>306</v>
      </c>
      <c r="DA31" s="41" t="s">
        <v>306</v>
      </c>
      <c r="DD31" s="60"/>
    </row>
    <row r="32" spans="1:108">
      <c r="A32" s="30" t="s">
        <v>163</v>
      </c>
      <c r="B32" s="30" t="s">
        <v>77</v>
      </c>
      <c r="C32" s="30" t="s">
        <v>100</v>
      </c>
      <c r="D32" s="30" t="s">
        <v>124</v>
      </c>
      <c r="E32" s="30" t="s">
        <v>109</v>
      </c>
      <c r="F32" s="31">
        <v>169</v>
      </c>
      <c r="G32" s="31" t="s">
        <v>10</v>
      </c>
      <c r="H32" s="31" t="s">
        <v>10</v>
      </c>
      <c r="I32" s="31">
        <v>143</v>
      </c>
      <c r="J32" s="55" t="s">
        <v>10</v>
      </c>
      <c r="K32" s="55" t="s">
        <v>10</v>
      </c>
      <c r="L32" s="31">
        <v>135</v>
      </c>
      <c r="M32" s="55" t="s">
        <v>10</v>
      </c>
      <c r="N32" s="55" t="s">
        <v>10</v>
      </c>
      <c r="O32" s="31">
        <v>125</v>
      </c>
      <c r="P32" s="55" t="s">
        <v>10</v>
      </c>
      <c r="Q32" s="55" t="s">
        <v>10</v>
      </c>
      <c r="R32" s="55">
        <f>VLOOKUP($B32,Extract_R_20_10_25!$B$2:$H$75,2,FALSE)</f>
        <v>121</v>
      </c>
      <c r="S32" s="31">
        <f>VLOOKUP($B32,Extract_R_20_10_25!$B$2:$H$75,3,FALSE)</f>
        <v>0</v>
      </c>
      <c r="T32" s="55">
        <f>VLOOKUP($B32,Extract_R_20_10_25!$B$2:$H$75,4,FALSE)</f>
        <v>0</v>
      </c>
      <c r="U32" s="41">
        <v>167.7</v>
      </c>
      <c r="V32" s="41">
        <v>150.80000000000001</v>
      </c>
      <c r="W32" s="41">
        <v>137.9</v>
      </c>
      <c r="X32" s="41">
        <v>77</v>
      </c>
      <c r="Y32" s="41">
        <v>47.7</v>
      </c>
      <c r="Z32" s="41">
        <v>48</v>
      </c>
      <c r="AA32" s="41">
        <v>4.0999999999999996</v>
      </c>
      <c r="AB32" s="41">
        <v>14.4</v>
      </c>
      <c r="AC32" s="41">
        <v>15.4</v>
      </c>
      <c r="AD32" s="41">
        <v>73.3</v>
      </c>
      <c r="AE32" s="56">
        <v>93.6</v>
      </c>
      <c r="AF32" s="41">
        <v>94.5</v>
      </c>
      <c r="AG32" s="41">
        <v>13</v>
      </c>
      <c r="AH32" s="41">
        <v>12</v>
      </c>
      <c r="AI32" s="41">
        <v>8.8000000000000007</v>
      </c>
      <c r="AJ32" s="57">
        <v>43.5</v>
      </c>
      <c r="AK32" s="57">
        <v>51.2</v>
      </c>
      <c r="AL32" s="57">
        <v>47.8</v>
      </c>
      <c r="AM32" s="57">
        <v>81</v>
      </c>
      <c r="AN32" s="57">
        <v>67.099999999999994</v>
      </c>
      <c r="AO32" s="57">
        <v>63.4</v>
      </c>
      <c r="AP32" s="58">
        <v>1.68</v>
      </c>
      <c r="AQ32" s="58">
        <v>1.48</v>
      </c>
      <c r="AR32" s="58">
        <v>1.43</v>
      </c>
      <c r="AS32" s="41">
        <v>17.899999999999999</v>
      </c>
      <c r="AT32" s="41">
        <v>20.9</v>
      </c>
      <c r="AU32" s="41">
        <v>21.4</v>
      </c>
      <c r="AV32" s="41">
        <v>30.3</v>
      </c>
      <c r="AW32" s="56">
        <v>44.8</v>
      </c>
      <c r="AX32" s="59">
        <v>50.5</v>
      </c>
      <c r="AY32" s="41">
        <v>27.3</v>
      </c>
      <c r="AZ32" s="56">
        <v>30.7</v>
      </c>
      <c r="BA32" s="59">
        <v>29.5</v>
      </c>
      <c r="BB32" s="41">
        <v>21.2</v>
      </c>
      <c r="BC32" s="56">
        <v>15.7</v>
      </c>
      <c r="BD32" s="32">
        <v>9.5</v>
      </c>
      <c r="BH32" s="41">
        <v>6.1</v>
      </c>
      <c r="BI32" s="41">
        <v>1.8</v>
      </c>
      <c r="BJ32" s="32">
        <v>1.2</v>
      </c>
      <c r="BK32" s="32">
        <v>77.8</v>
      </c>
      <c r="BL32" s="32">
        <v>83</v>
      </c>
      <c r="BM32" s="32">
        <v>83.3</v>
      </c>
      <c r="BN32" s="32">
        <v>80</v>
      </c>
      <c r="BO32" s="32">
        <v>85.5</v>
      </c>
      <c r="BP32" s="32">
        <v>83.3</v>
      </c>
      <c r="BQ32" s="41">
        <v>71.400000000000006</v>
      </c>
      <c r="BR32" s="32">
        <v>77.7</v>
      </c>
      <c r="BS32" s="32">
        <v>75.400000000000006</v>
      </c>
      <c r="BT32" s="32">
        <v>75</v>
      </c>
      <c r="BU32" s="32">
        <v>89.2</v>
      </c>
      <c r="BV32" s="32">
        <v>87.6</v>
      </c>
      <c r="BW32" s="41">
        <v>-13.7</v>
      </c>
      <c r="BX32" s="41">
        <v>-6.5</v>
      </c>
      <c r="BY32" s="41">
        <v>-5.8999999999999897</v>
      </c>
      <c r="BZ32" s="41">
        <v>8.3000000000000007</v>
      </c>
      <c r="CA32" s="41">
        <v>11</v>
      </c>
      <c r="CB32" s="41">
        <v>11.2</v>
      </c>
      <c r="CC32" s="57" t="s">
        <v>306</v>
      </c>
      <c r="CD32" s="57" t="s">
        <v>306</v>
      </c>
      <c r="CE32" s="57" t="s">
        <v>306</v>
      </c>
      <c r="CF32" s="32">
        <v>13.635</v>
      </c>
      <c r="CG32" s="32">
        <v>14.625</v>
      </c>
      <c r="CH32" s="32">
        <v>14.55</v>
      </c>
      <c r="CI32" s="32"/>
      <c r="CJ32" s="32"/>
      <c r="CK32" s="32"/>
      <c r="CL32" s="55" t="s">
        <v>306</v>
      </c>
      <c r="CM32" s="55" t="s">
        <v>306</v>
      </c>
      <c r="CN32" s="55" t="s">
        <v>306</v>
      </c>
      <c r="CO32" s="41">
        <v>30.6</v>
      </c>
      <c r="CP32" s="41">
        <v>51.5</v>
      </c>
      <c r="CQ32" s="41">
        <v>75.5</v>
      </c>
      <c r="CR32" s="41">
        <v>6.7</v>
      </c>
      <c r="CS32" s="41">
        <v>6.1</v>
      </c>
      <c r="CT32" s="41">
        <v>5.7</v>
      </c>
      <c r="CU32" s="56">
        <v>47.2</v>
      </c>
      <c r="CV32" s="56">
        <v>44.4</v>
      </c>
      <c r="CW32" s="56">
        <v>43.5</v>
      </c>
      <c r="CX32" s="32" t="str">
        <f t="shared" si="0"/>
        <v>9830431B</v>
      </c>
      <c r="CY32" s="41" t="s">
        <v>306</v>
      </c>
      <c r="CZ32" s="41" t="s">
        <v>306</v>
      </c>
      <c r="DA32" s="41" t="s">
        <v>306</v>
      </c>
      <c r="DD32" s="60"/>
    </row>
    <row r="33" spans="1:108">
      <c r="A33" s="30" t="s">
        <v>164</v>
      </c>
      <c r="B33" s="30" t="s">
        <v>78</v>
      </c>
      <c r="C33" s="30" t="s">
        <v>100</v>
      </c>
      <c r="D33" s="30" t="s">
        <v>126</v>
      </c>
      <c r="E33" s="30" t="s">
        <v>109</v>
      </c>
      <c r="F33" s="31">
        <v>203</v>
      </c>
      <c r="G33" s="31" t="s">
        <v>10</v>
      </c>
      <c r="H33" s="31" t="s">
        <v>10</v>
      </c>
      <c r="I33" s="31">
        <v>161</v>
      </c>
      <c r="J33" s="55" t="s">
        <v>10</v>
      </c>
      <c r="K33" s="55" t="s">
        <v>10</v>
      </c>
      <c r="L33" s="31">
        <v>167</v>
      </c>
      <c r="M33" s="55" t="s">
        <v>10</v>
      </c>
      <c r="N33" s="55" t="s">
        <v>10</v>
      </c>
      <c r="O33" s="31">
        <v>158</v>
      </c>
      <c r="P33" s="55" t="s">
        <v>10</v>
      </c>
      <c r="Q33" s="55" t="s">
        <v>10</v>
      </c>
      <c r="R33" s="55">
        <f>VLOOKUP($B33,Extract_R_20_10_25!$B$2:$H$75,2,FALSE)</f>
        <v>156</v>
      </c>
      <c r="S33" s="31">
        <f>VLOOKUP($B33,Extract_R_20_10_25!$B$2:$H$75,3,FALSE)</f>
        <v>0</v>
      </c>
      <c r="T33" s="55">
        <f>VLOOKUP($B33,Extract_R_20_10_25!$B$2:$H$75,4,FALSE)</f>
        <v>0</v>
      </c>
      <c r="U33" s="41">
        <v>152.30000000000001</v>
      </c>
      <c r="V33" s="41">
        <v>150.80000000000001</v>
      </c>
      <c r="W33" s="41">
        <v>137.9</v>
      </c>
      <c r="X33" s="41">
        <v>60.8</v>
      </c>
      <c r="Y33" s="41">
        <v>47.7</v>
      </c>
      <c r="Z33" s="41">
        <v>48</v>
      </c>
      <c r="AA33" s="41">
        <v>8.9</v>
      </c>
      <c r="AB33" s="41">
        <v>14.4</v>
      </c>
      <c r="AC33" s="41">
        <v>15.4</v>
      </c>
      <c r="AD33" s="41">
        <v>80.2</v>
      </c>
      <c r="AE33" s="56">
        <v>93.6</v>
      </c>
      <c r="AF33" s="41">
        <v>94.5</v>
      </c>
      <c r="AG33" s="41">
        <v>14.3</v>
      </c>
      <c r="AH33" s="41">
        <v>12</v>
      </c>
      <c r="AI33" s="41">
        <v>8.8000000000000007</v>
      </c>
      <c r="AJ33" s="57">
        <v>71</v>
      </c>
      <c r="AK33" s="57">
        <v>51.2</v>
      </c>
      <c r="AL33" s="57">
        <v>47.8</v>
      </c>
      <c r="AM33" s="57">
        <v>86.7</v>
      </c>
      <c r="AN33" s="57">
        <v>67.099999999999994</v>
      </c>
      <c r="AO33" s="57">
        <v>63.4</v>
      </c>
      <c r="AP33" s="58">
        <v>1.54</v>
      </c>
      <c r="AQ33" s="58">
        <v>1.48</v>
      </c>
      <c r="AR33" s="58">
        <v>1.43</v>
      </c>
      <c r="AS33" s="41">
        <v>19.8</v>
      </c>
      <c r="AT33" s="41">
        <v>20.9</v>
      </c>
      <c r="AU33" s="41">
        <v>21.4</v>
      </c>
      <c r="AV33" s="41">
        <v>29</v>
      </c>
      <c r="AW33" s="56">
        <v>44.8</v>
      </c>
      <c r="AX33" s="59">
        <v>50.5</v>
      </c>
      <c r="AY33" s="41">
        <v>38.700000000000003</v>
      </c>
      <c r="AZ33" s="56">
        <v>30.7</v>
      </c>
      <c r="BA33" s="59">
        <v>29.5</v>
      </c>
      <c r="BB33" s="41">
        <v>9.6999999999999993</v>
      </c>
      <c r="BC33" s="56">
        <v>15.7</v>
      </c>
      <c r="BD33" s="32">
        <v>9.5</v>
      </c>
      <c r="BH33" s="41">
        <v>0</v>
      </c>
      <c r="BI33" s="41">
        <v>1.8</v>
      </c>
      <c r="BJ33" s="32">
        <v>1.2</v>
      </c>
      <c r="BK33" s="32">
        <v>87.5</v>
      </c>
      <c r="BL33" s="32">
        <v>83</v>
      </c>
      <c r="BM33" s="32">
        <v>83.3</v>
      </c>
      <c r="BN33" s="32">
        <v>84.6</v>
      </c>
      <c r="BO33" s="32">
        <v>85.5</v>
      </c>
      <c r="BP33" s="32">
        <v>83.3</v>
      </c>
      <c r="BQ33" s="41">
        <v>75</v>
      </c>
      <c r="BR33" s="32">
        <v>77.7</v>
      </c>
      <c r="BS33" s="32">
        <v>75.400000000000006</v>
      </c>
      <c r="BT33" s="32">
        <v>90.3</v>
      </c>
      <c r="BU33" s="32">
        <v>89.2</v>
      </c>
      <c r="BV33" s="32">
        <v>87.6</v>
      </c>
      <c r="BW33" s="41">
        <v>21.4</v>
      </c>
      <c r="BX33" s="41">
        <v>-6.5</v>
      </c>
      <c r="BY33" s="41">
        <v>-5.8999999999999897</v>
      </c>
      <c r="BZ33" s="41">
        <v>10.4</v>
      </c>
      <c r="CA33" s="41">
        <v>11</v>
      </c>
      <c r="CB33" s="41">
        <v>11.2</v>
      </c>
      <c r="CC33" s="57" t="s">
        <v>306</v>
      </c>
      <c r="CD33" s="57" t="s">
        <v>306</v>
      </c>
      <c r="CE33" s="57" t="s">
        <v>306</v>
      </c>
      <c r="CF33" s="32">
        <v>14.22</v>
      </c>
      <c r="CG33" s="32">
        <v>14.625</v>
      </c>
      <c r="CH33" s="32">
        <v>14.55</v>
      </c>
      <c r="CI33" s="32"/>
      <c r="CJ33" s="32"/>
      <c r="CK33" s="32"/>
      <c r="CL33" s="55" t="s">
        <v>306</v>
      </c>
      <c r="CM33" s="55" t="s">
        <v>306</v>
      </c>
      <c r="CN33" s="55" t="s">
        <v>306</v>
      </c>
      <c r="CO33" s="41">
        <v>35.6</v>
      </c>
      <c r="CP33" s="41">
        <v>51.5</v>
      </c>
      <c r="CQ33" s="41">
        <v>75.5</v>
      </c>
      <c r="CR33" s="41">
        <v>7.7</v>
      </c>
      <c r="CS33" s="41">
        <v>6.1</v>
      </c>
      <c r="CT33" s="41">
        <v>5.7</v>
      </c>
      <c r="CU33" s="56">
        <v>44.8</v>
      </c>
      <c r="CV33" s="56">
        <v>44.4</v>
      </c>
      <c r="CW33" s="56">
        <v>43.5</v>
      </c>
      <c r="CX33" s="32" t="str">
        <f t="shared" ref="CX33:CX55" si="1">B33</f>
        <v>9830432C</v>
      </c>
      <c r="CY33" s="41" t="s">
        <v>306</v>
      </c>
      <c r="CZ33" s="41" t="s">
        <v>306</v>
      </c>
      <c r="DA33" s="41" t="s">
        <v>306</v>
      </c>
      <c r="DD33" s="60"/>
    </row>
    <row r="34" spans="1:108">
      <c r="A34" s="30" t="s">
        <v>165</v>
      </c>
      <c r="B34" s="30" t="s">
        <v>79</v>
      </c>
      <c r="C34" s="30" t="s">
        <v>100</v>
      </c>
      <c r="D34" s="30" t="s">
        <v>115</v>
      </c>
      <c r="E34" s="30" t="s">
        <v>109</v>
      </c>
      <c r="F34" s="31">
        <v>98</v>
      </c>
      <c r="G34" s="31" t="s">
        <v>10</v>
      </c>
      <c r="H34" s="31" t="s">
        <v>10</v>
      </c>
      <c r="I34" s="31">
        <v>70</v>
      </c>
      <c r="J34" s="55" t="s">
        <v>10</v>
      </c>
      <c r="K34" s="55" t="s">
        <v>10</v>
      </c>
      <c r="L34" s="31">
        <v>70</v>
      </c>
      <c r="M34" s="55" t="s">
        <v>10</v>
      </c>
      <c r="N34" s="55" t="s">
        <v>10</v>
      </c>
      <c r="O34" s="31">
        <v>88</v>
      </c>
      <c r="P34" s="55" t="s">
        <v>10</v>
      </c>
      <c r="Q34" s="55" t="s">
        <v>10</v>
      </c>
      <c r="R34" s="55">
        <f>VLOOKUP($B34,Extract_R_20_10_25!$B$2:$H$75,2,FALSE)</f>
        <v>89</v>
      </c>
      <c r="S34" s="31">
        <f>VLOOKUP($B34,Extract_R_20_10_25!$B$2:$H$75,3,FALSE)</f>
        <v>0</v>
      </c>
      <c r="T34" s="55">
        <f>VLOOKUP($B34,Extract_R_20_10_25!$B$2:$H$75,4,FALSE)</f>
        <v>0</v>
      </c>
      <c r="U34" s="41">
        <v>177.8</v>
      </c>
      <c r="V34" s="41">
        <v>150.80000000000001</v>
      </c>
      <c r="W34" s="41">
        <v>137.9</v>
      </c>
      <c r="X34" s="41">
        <v>59.1</v>
      </c>
      <c r="Y34" s="41">
        <v>47.7</v>
      </c>
      <c r="Z34" s="41">
        <v>48</v>
      </c>
      <c r="AA34" s="41">
        <v>9.1</v>
      </c>
      <c r="AB34" s="41">
        <v>14.4</v>
      </c>
      <c r="AC34" s="41">
        <v>15.4</v>
      </c>
      <c r="AD34" s="41">
        <v>84</v>
      </c>
      <c r="AE34" s="56">
        <v>93.6</v>
      </c>
      <c r="AF34" s="41">
        <v>94.5</v>
      </c>
      <c r="AG34" s="41">
        <v>11.5</v>
      </c>
      <c r="AH34" s="41">
        <v>12</v>
      </c>
      <c r="AI34" s="41">
        <v>8.8000000000000007</v>
      </c>
      <c r="AJ34" s="57">
        <v>60.7</v>
      </c>
      <c r="AK34" s="57">
        <v>51.2</v>
      </c>
      <c r="AL34" s="57">
        <v>47.8</v>
      </c>
      <c r="AM34" s="57">
        <v>82.1</v>
      </c>
      <c r="AN34" s="57">
        <v>67.099999999999994</v>
      </c>
      <c r="AO34" s="57">
        <v>63.4</v>
      </c>
      <c r="AP34" s="58">
        <v>1.72</v>
      </c>
      <c r="AQ34" s="58">
        <v>1.48</v>
      </c>
      <c r="AR34" s="58">
        <v>1.43</v>
      </c>
      <c r="AS34" s="41">
        <v>17.600000000000001</v>
      </c>
      <c r="AT34" s="41">
        <v>20.9</v>
      </c>
      <c r="AU34" s="41">
        <v>21.4</v>
      </c>
      <c r="AV34" s="41">
        <v>56.2</v>
      </c>
      <c r="AW34" s="56">
        <v>44.8</v>
      </c>
      <c r="AX34" s="59">
        <v>50.5</v>
      </c>
      <c r="AY34" s="41">
        <v>31.2</v>
      </c>
      <c r="AZ34" s="56">
        <v>30.7</v>
      </c>
      <c r="BA34" s="59">
        <v>29.5</v>
      </c>
      <c r="BB34" s="41">
        <v>12.5</v>
      </c>
      <c r="BC34" s="56">
        <v>15.7</v>
      </c>
      <c r="BD34" s="32">
        <v>9.5</v>
      </c>
      <c r="BH34" s="41">
        <v>0</v>
      </c>
      <c r="BI34" s="41">
        <v>1.8</v>
      </c>
      <c r="BJ34" s="32">
        <v>1.2</v>
      </c>
      <c r="BK34" s="32">
        <v>60</v>
      </c>
      <c r="BL34" s="32">
        <v>83</v>
      </c>
      <c r="BM34" s="32">
        <v>83.3</v>
      </c>
      <c r="BN34" s="32">
        <v>100</v>
      </c>
      <c r="BO34" s="32">
        <v>85.5</v>
      </c>
      <c r="BP34" s="32">
        <v>83.3</v>
      </c>
      <c r="BQ34" s="41">
        <v>60</v>
      </c>
      <c r="BR34" s="32">
        <v>77.7</v>
      </c>
      <c r="BS34" s="32">
        <v>75.400000000000006</v>
      </c>
      <c r="BT34" s="32">
        <v>100</v>
      </c>
      <c r="BU34" s="32">
        <v>89.2</v>
      </c>
      <c r="BV34" s="32">
        <v>87.6</v>
      </c>
      <c r="BW34" s="41">
        <v>0</v>
      </c>
      <c r="BX34" s="41">
        <v>-6.5</v>
      </c>
      <c r="BY34" s="41">
        <v>-5.8999999999999897</v>
      </c>
      <c r="BZ34" s="41">
        <v>10.6</v>
      </c>
      <c r="CA34" s="41">
        <v>11</v>
      </c>
      <c r="CB34" s="41">
        <v>11.2</v>
      </c>
      <c r="CC34" s="57" t="s">
        <v>306</v>
      </c>
      <c r="CD34" s="57" t="s">
        <v>306</v>
      </c>
      <c r="CE34" s="57" t="s">
        <v>306</v>
      </c>
      <c r="CF34" s="32">
        <v>15.414999999999999</v>
      </c>
      <c r="CG34" s="32">
        <v>14.625</v>
      </c>
      <c r="CH34" s="32">
        <v>14.55</v>
      </c>
      <c r="CI34" s="32"/>
      <c r="CJ34" s="32"/>
      <c r="CK34" s="32"/>
      <c r="CL34" s="55" t="s">
        <v>306</v>
      </c>
      <c r="CM34" s="55" t="s">
        <v>306</v>
      </c>
      <c r="CN34" s="55" t="s">
        <v>306</v>
      </c>
      <c r="CO34" s="41">
        <v>33.5</v>
      </c>
      <c r="CP34" s="41">
        <v>51.5</v>
      </c>
      <c r="CQ34" s="41">
        <v>75.5</v>
      </c>
      <c r="CR34" s="41">
        <v>5.3</v>
      </c>
      <c r="CS34" s="41">
        <v>6.1</v>
      </c>
      <c r="CT34" s="41">
        <v>5.7</v>
      </c>
      <c r="CU34" s="56">
        <v>42.6</v>
      </c>
      <c r="CV34" s="56">
        <v>44.4</v>
      </c>
      <c r="CW34" s="56">
        <v>43.5</v>
      </c>
      <c r="CX34" s="32" t="str">
        <f t="shared" si="1"/>
        <v>9830447U</v>
      </c>
      <c r="CY34" s="41" t="s">
        <v>306</v>
      </c>
      <c r="CZ34" s="41" t="s">
        <v>306</v>
      </c>
      <c r="DA34" s="41" t="s">
        <v>306</v>
      </c>
      <c r="DD34" s="60"/>
    </row>
    <row r="35" spans="1:108">
      <c r="A35" s="30" t="s">
        <v>166</v>
      </c>
      <c r="B35" s="30" t="s">
        <v>80</v>
      </c>
      <c r="C35" s="30" t="s">
        <v>100</v>
      </c>
      <c r="D35" s="30" t="s">
        <v>120</v>
      </c>
      <c r="E35" s="30" t="s">
        <v>109</v>
      </c>
      <c r="F35" s="31">
        <v>78</v>
      </c>
      <c r="G35" s="31" t="s">
        <v>10</v>
      </c>
      <c r="H35" s="31" t="s">
        <v>10</v>
      </c>
      <c r="I35" s="31">
        <v>62</v>
      </c>
      <c r="J35" s="55" t="s">
        <v>10</v>
      </c>
      <c r="K35" s="55" t="s">
        <v>10</v>
      </c>
      <c r="L35" s="31">
        <v>49</v>
      </c>
      <c r="M35" s="55" t="s">
        <v>10</v>
      </c>
      <c r="N35" s="55" t="s">
        <v>10</v>
      </c>
      <c r="O35" s="31">
        <v>45</v>
      </c>
      <c r="P35" s="55" t="s">
        <v>10</v>
      </c>
      <c r="Q35" s="55" t="s">
        <v>10</v>
      </c>
      <c r="R35" s="55">
        <f>VLOOKUP($B35,Extract_R_20_10_25!$B$2:$H$75,2,FALSE)</f>
        <v>44</v>
      </c>
      <c r="S35" s="31">
        <f>VLOOKUP($B35,Extract_R_20_10_25!$B$2:$H$75,3,FALSE)</f>
        <v>0</v>
      </c>
      <c r="T35" s="55">
        <f>VLOOKUP($B35,Extract_R_20_10_25!$B$2:$H$75,4,FALSE)</f>
        <v>0</v>
      </c>
      <c r="U35" s="41">
        <v>150.5</v>
      </c>
      <c r="V35" s="41">
        <v>150.80000000000001</v>
      </c>
      <c r="W35" s="41">
        <v>137.9</v>
      </c>
      <c r="X35" s="41">
        <v>63.2</v>
      </c>
      <c r="Y35" s="41">
        <v>47.7</v>
      </c>
      <c r="Z35" s="41">
        <v>48</v>
      </c>
      <c r="AA35" s="41">
        <v>7.9</v>
      </c>
      <c r="AB35" s="41">
        <v>14.4</v>
      </c>
      <c r="AC35" s="41">
        <v>15.4</v>
      </c>
      <c r="AD35" s="41">
        <v>90.7</v>
      </c>
      <c r="AE35" s="56">
        <v>93.6</v>
      </c>
      <c r="AF35" s="41">
        <v>94.5</v>
      </c>
      <c r="AG35" s="41">
        <v>31.2</v>
      </c>
      <c r="AH35" s="41">
        <v>12</v>
      </c>
      <c r="AI35" s="41">
        <v>8.8000000000000007</v>
      </c>
      <c r="AJ35" s="57">
        <v>86.7</v>
      </c>
      <c r="AK35" s="57">
        <v>51.2</v>
      </c>
      <c r="AL35" s="57">
        <v>47.8</v>
      </c>
      <c r="AM35" s="57">
        <v>87.5</v>
      </c>
      <c r="AN35" s="57">
        <v>67.099999999999994</v>
      </c>
      <c r="AO35" s="57">
        <v>63.4</v>
      </c>
      <c r="AP35" s="58">
        <v>2.72</v>
      </c>
      <c r="AQ35" s="58">
        <v>1.48</v>
      </c>
      <c r="AR35" s="58">
        <v>1.43</v>
      </c>
      <c r="AS35" s="41">
        <v>11.2</v>
      </c>
      <c r="AT35" s="41">
        <v>20.9</v>
      </c>
      <c r="AU35" s="41">
        <v>21.4</v>
      </c>
      <c r="AV35" s="41">
        <v>21.1</v>
      </c>
      <c r="AW35" s="56">
        <v>44.8</v>
      </c>
      <c r="AX35" s="59">
        <v>50.5</v>
      </c>
      <c r="AY35" s="41">
        <v>21.1</v>
      </c>
      <c r="AZ35" s="56">
        <v>30.7</v>
      </c>
      <c r="BA35" s="59">
        <v>29.5</v>
      </c>
      <c r="BB35" s="41">
        <v>26.3</v>
      </c>
      <c r="BC35" s="56">
        <v>15.7</v>
      </c>
      <c r="BD35" s="32">
        <v>9.5</v>
      </c>
      <c r="BH35" s="41">
        <v>0</v>
      </c>
      <c r="BI35" s="41">
        <v>1.8</v>
      </c>
      <c r="BJ35" s="32">
        <v>1.2</v>
      </c>
      <c r="BK35" s="32">
        <v>83.3</v>
      </c>
      <c r="BL35" s="32">
        <v>83</v>
      </c>
      <c r="BM35" s="32">
        <v>83.3</v>
      </c>
      <c r="BN35" s="32">
        <v>90.9</v>
      </c>
      <c r="BO35" s="32">
        <v>85.5</v>
      </c>
      <c r="BP35" s="32">
        <v>83.3</v>
      </c>
      <c r="BQ35" s="41">
        <v>100</v>
      </c>
      <c r="BR35" s="32">
        <v>77.7</v>
      </c>
      <c r="BS35" s="32">
        <v>75.400000000000006</v>
      </c>
      <c r="BT35" s="32">
        <v>68.400000000000006</v>
      </c>
      <c r="BU35" s="32">
        <v>89.2</v>
      </c>
      <c r="BV35" s="32">
        <v>87.6</v>
      </c>
      <c r="BW35" s="41">
        <v>24.4</v>
      </c>
      <c r="BX35" s="41">
        <v>-6.5</v>
      </c>
      <c r="BY35" s="41">
        <v>-5.8999999999999897</v>
      </c>
      <c r="BZ35" s="41">
        <v>7</v>
      </c>
      <c r="CA35" s="41">
        <v>11</v>
      </c>
      <c r="CB35" s="41">
        <v>11.2</v>
      </c>
      <c r="CC35" s="57" t="s">
        <v>306</v>
      </c>
      <c r="CD35" s="57" t="s">
        <v>306</v>
      </c>
      <c r="CE35" s="57" t="s">
        <v>306</v>
      </c>
      <c r="CF35" s="32">
        <v>13.75</v>
      </c>
      <c r="CG35" s="32">
        <v>14.625</v>
      </c>
      <c r="CH35" s="32">
        <v>14.55</v>
      </c>
      <c r="CI35" s="32"/>
      <c r="CJ35" s="32"/>
      <c r="CK35" s="32"/>
      <c r="CL35" s="55" t="s">
        <v>306</v>
      </c>
      <c r="CM35" s="55" t="s">
        <v>306</v>
      </c>
      <c r="CN35" s="55" t="s">
        <v>306</v>
      </c>
      <c r="CO35" s="41">
        <v>32.4</v>
      </c>
      <c r="CP35" s="41">
        <v>51.5</v>
      </c>
      <c r="CQ35" s="41">
        <v>75.5</v>
      </c>
      <c r="CR35" s="41">
        <v>7.4</v>
      </c>
      <c r="CS35" s="41">
        <v>6.1</v>
      </c>
      <c r="CT35" s="41">
        <v>5.7</v>
      </c>
      <c r="CU35" s="56">
        <v>43.4</v>
      </c>
      <c r="CV35" s="56">
        <v>44.4</v>
      </c>
      <c r="CW35" s="56">
        <v>43.5</v>
      </c>
      <c r="CX35" s="32" t="str">
        <f t="shared" si="1"/>
        <v>9830472W</v>
      </c>
      <c r="CY35" s="41" t="s">
        <v>306</v>
      </c>
      <c r="CZ35" s="41" t="s">
        <v>306</v>
      </c>
      <c r="DA35" s="41" t="s">
        <v>306</v>
      </c>
      <c r="DD35" s="60"/>
    </row>
    <row r="36" spans="1:108">
      <c r="A36" s="30" t="s">
        <v>167</v>
      </c>
      <c r="B36" s="30" t="s">
        <v>81</v>
      </c>
      <c r="C36" s="30" t="s">
        <v>24</v>
      </c>
      <c r="D36" s="30" t="s">
        <v>127</v>
      </c>
      <c r="E36" s="30" t="s">
        <v>108</v>
      </c>
      <c r="F36" s="31">
        <v>898</v>
      </c>
      <c r="G36" s="31">
        <v>72</v>
      </c>
      <c r="H36" s="31">
        <v>13</v>
      </c>
      <c r="I36" s="31">
        <v>462</v>
      </c>
      <c r="J36" s="55">
        <v>74</v>
      </c>
      <c r="K36" s="55" t="s">
        <v>10</v>
      </c>
      <c r="L36" s="31">
        <v>511</v>
      </c>
      <c r="M36" s="55">
        <v>79</v>
      </c>
      <c r="N36" s="55" t="s">
        <v>10</v>
      </c>
      <c r="O36" s="31">
        <v>512</v>
      </c>
      <c r="P36" s="55">
        <v>75</v>
      </c>
      <c r="Q36" s="55" t="s">
        <v>10</v>
      </c>
      <c r="R36" s="55">
        <f>VLOOKUP($B36,Extract_R_20_10_25!$B$2:$H$75,2,FALSE)</f>
        <v>500</v>
      </c>
      <c r="S36" s="31">
        <f>VLOOKUP($B36,Extract_R_20_10_25!$B$2:$H$75,3,FALSE)</f>
        <v>75</v>
      </c>
      <c r="T36" s="55">
        <f>VLOOKUP($B36,Extract_R_20_10_25!$B$2:$H$75,4,FALSE)</f>
        <v>0</v>
      </c>
      <c r="U36" s="41">
        <v>100.1</v>
      </c>
      <c r="V36" s="41">
        <v>129.69999999999999</v>
      </c>
      <c r="W36" s="41">
        <v>137.9</v>
      </c>
      <c r="X36" s="41">
        <v>54.5</v>
      </c>
      <c r="Y36" s="41">
        <v>48.1</v>
      </c>
      <c r="Z36" s="41">
        <v>48</v>
      </c>
      <c r="AA36" s="41">
        <v>10.9</v>
      </c>
      <c r="AB36" s="41">
        <v>15.7</v>
      </c>
      <c r="AC36" s="41">
        <v>15.4</v>
      </c>
      <c r="AD36" s="41">
        <v>87.2</v>
      </c>
      <c r="AE36" s="56">
        <v>94.7</v>
      </c>
      <c r="AF36" s="41">
        <v>94.5</v>
      </c>
      <c r="AG36" s="41">
        <v>10.7</v>
      </c>
      <c r="AH36" s="41">
        <v>8</v>
      </c>
      <c r="AI36" s="41">
        <v>8.8000000000000007</v>
      </c>
      <c r="AJ36" s="57">
        <v>56.3</v>
      </c>
      <c r="AK36" s="57">
        <v>46.7</v>
      </c>
      <c r="AL36" s="57">
        <v>47.8</v>
      </c>
      <c r="AM36" s="57">
        <v>76.599999999999994</v>
      </c>
      <c r="AN36" s="57">
        <v>62.3</v>
      </c>
      <c r="AO36" s="57">
        <v>63.4</v>
      </c>
      <c r="AP36" s="58">
        <v>1.44</v>
      </c>
      <c r="AQ36" s="58">
        <v>1.42</v>
      </c>
      <c r="AR36" s="58">
        <v>1.43</v>
      </c>
      <c r="AS36" s="41">
        <v>20.3</v>
      </c>
      <c r="AT36" s="41">
        <v>21.5</v>
      </c>
      <c r="AU36" s="41">
        <v>21.4</v>
      </c>
      <c r="AV36" s="41">
        <v>39.6</v>
      </c>
      <c r="AW36" s="56">
        <v>52.3</v>
      </c>
      <c r="AX36" s="59">
        <v>50.5</v>
      </c>
      <c r="AY36" s="41">
        <v>44.6</v>
      </c>
      <c r="AZ36" s="56">
        <v>29.1</v>
      </c>
      <c r="BA36" s="59">
        <v>29.5</v>
      </c>
      <c r="BB36" s="41">
        <v>10.9</v>
      </c>
      <c r="BC36" s="56">
        <v>7.7</v>
      </c>
      <c r="BD36" s="32">
        <v>9.5</v>
      </c>
      <c r="BH36" s="41">
        <v>1</v>
      </c>
      <c r="BI36" s="41">
        <v>1</v>
      </c>
      <c r="BJ36" s="32">
        <v>1.2</v>
      </c>
      <c r="BK36" s="32">
        <v>86.8</v>
      </c>
      <c r="BL36" s="32">
        <v>83.4</v>
      </c>
      <c r="BM36" s="32">
        <v>83.3</v>
      </c>
      <c r="BN36" s="32">
        <v>80</v>
      </c>
      <c r="BO36" s="32">
        <v>82.7</v>
      </c>
      <c r="BP36" s="32">
        <v>83.3</v>
      </c>
      <c r="BQ36" s="41">
        <v>66.7</v>
      </c>
      <c r="BR36" s="32">
        <v>74.2</v>
      </c>
      <c r="BS36" s="32">
        <v>75.400000000000006</v>
      </c>
      <c r="BT36" s="32">
        <v>73</v>
      </c>
      <c r="BU36" s="32">
        <v>87.1</v>
      </c>
      <c r="BV36" s="32">
        <v>87.6</v>
      </c>
      <c r="BW36" s="41">
        <v>-9.6999999999999904</v>
      </c>
      <c r="BX36" s="41">
        <v>-5.8</v>
      </c>
      <c r="BY36" s="41">
        <v>-5.8999999999999897</v>
      </c>
      <c r="BZ36" s="41">
        <v>10.1</v>
      </c>
      <c r="CA36" s="41">
        <v>11.3</v>
      </c>
      <c r="CB36" s="41">
        <v>11.2</v>
      </c>
      <c r="CC36" s="57" t="s">
        <v>306</v>
      </c>
      <c r="CD36" s="57" t="s">
        <v>306</v>
      </c>
      <c r="CE36" s="57" t="s">
        <v>306</v>
      </c>
      <c r="CF36" s="32">
        <v>13.005000000000001</v>
      </c>
      <c r="CG36" s="32">
        <v>14.525</v>
      </c>
      <c r="CH36" s="32">
        <v>14.55</v>
      </c>
      <c r="CI36" s="32"/>
      <c r="CJ36" s="32"/>
      <c r="CK36" s="32"/>
      <c r="CL36" s="41" t="s">
        <v>306</v>
      </c>
      <c r="CM36" s="31" t="s">
        <v>306</v>
      </c>
      <c r="CN36" s="55" t="s">
        <v>306</v>
      </c>
      <c r="CO36" s="41">
        <v>80.400000000000006</v>
      </c>
      <c r="CP36" s="41">
        <v>82.5</v>
      </c>
      <c r="CQ36" s="41">
        <v>75.5</v>
      </c>
      <c r="CR36" s="41">
        <v>4.2</v>
      </c>
      <c r="CS36" s="41">
        <v>5.5</v>
      </c>
      <c r="CT36" s="41">
        <v>5.7</v>
      </c>
      <c r="CU36" s="56">
        <v>41.9</v>
      </c>
      <c r="CV36" s="56">
        <v>43.2</v>
      </c>
      <c r="CW36" s="56">
        <v>43.5</v>
      </c>
      <c r="CX36" s="32" t="str">
        <f t="shared" si="1"/>
        <v>9830474Y</v>
      </c>
      <c r="CY36" s="41" t="s">
        <v>306</v>
      </c>
      <c r="CZ36" s="41" t="s">
        <v>306</v>
      </c>
      <c r="DA36" s="41" t="s">
        <v>306</v>
      </c>
      <c r="DD36" s="60"/>
    </row>
    <row r="37" spans="1:108">
      <c r="A37" s="30" t="s">
        <v>168</v>
      </c>
      <c r="B37" s="30" t="s">
        <v>82</v>
      </c>
      <c r="C37" s="30" t="s">
        <v>24</v>
      </c>
      <c r="D37" s="30" t="s">
        <v>128</v>
      </c>
      <c r="E37" s="30" t="s">
        <v>108</v>
      </c>
      <c r="F37" s="31">
        <v>117</v>
      </c>
      <c r="G37" s="31" t="s">
        <v>10</v>
      </c>
      <c r="H37" s="31" t="s">
        <v>10</v>
      </c>
      <c r="I37" s="31">
        <v>89</v>
      </c>
      <c r="J37" s="55" t="s">
        <v>10</v>
      </c>
      <c r="K37" s="55" t="s">
        <v>10</v>
      </c>
      <c r="L37" s="31">
        <v>85</v>
      </c>
      <c r="M37" s="55" t="s">
        <v>10</v>
      </c>
      <c r="N37" s="55" t="s">
        <v>10</v>
      </c>
      <c r="O37" s="31">
        <v>85</v>
      </c>
      <c r="P37" s="55" t="s">
        <v>10</v>
      </c>
      <c r="Q37" s="55" t="s">
        <v>10</v>
      </c>
      <c r="R37" s="55">
        <f>VLOOKUP($B37,Extract_R_20_10_25!$B$2:$H$75,2,FALSE)</f>
        <v>83</v>
      </c>
      <c r="S37" s="31">
        <f>VLOOKUP($B37,Extract_R_20_10_25!$B$2:$H$75,3,FALSE)</f>
        <v>0</v>
      </c>
      <c r="T37" s="55">
        <f>VLOOKUP($B37,Extract_R_20_10_25!$B$2:$H$75,4,FALSE)</f>
        <v>0</v>
      </c>
      <c r="U37" s="41">
        <v>153.5</v>
      </c>
      <c r="V37" s="41">
        <v>129.69999999999999</v>
      </c>
      <c r="W37" s="41">
        <v>137.9</v>
      </c>
      <c r="X37" s="41">
        <v>82.4</v>
      </c>
      <c r="Y37" s="41">
        <v>48.1</v>
      </c>
      <c r="Z37" s="41">
        <v>48</v>
      </c>
      <c r="AA37" s="41">
        <v>4.7</v>
      </c>
      <c r="AB37" s="41">
        <v>15.7</v>
      </c>
      <c r="AC37" s="41">
        <v>15.4</v>
      </c>
      <c r="AD37" s="41">
        <v>73.8</v>
      </c>
      <c r="AE37" s="56">
        <v>94.7</v>
      </c>
      <c r="AF37" s="41">
        <v>94.5</v>
      </c>
      <c r="AG37" s="41">
        <v>0</v>
      </c>
      <c r="AH37" s="41">
        <v>8</v>
      </c>
      <c r="AI37" s="41">
        <v>8.8000000000000007</v>
      </c>
      <c r="AJ37" s="57">
        <v>77.8</v>
      </c>
      <c r="AK37" s="57">
        <v>46.7</v>
      </c>
      <c r="AL37" s="57">
        <v>47.8</v>
      </c>
      <c r="AM37" s="57">
        <v>94.4</v>
      </c>
      <c r="AN37" s="57">
        <v>62.3</v>
      </c>
      <c r="AO37" s="57">
        <v>63.4</v>
      </c>
      <c r="AP37" s="58">
        <v>1.63</v>
      </c>
      <c r="AQ37" s="58">
        <v>1.42</v>
      </c>
      <c r="AR37" s="58">
        <v>1.43</v>
      </c>
      <c r="AS37" s="41">
        <v>21.2</v>
      </c>
      <c r="AT37" s="41">
        <v>21.5</v>
      </c>
      <c r="AU37" s="41">
        <v>21.4</v>
      </c>
      <c r="AV37" s="41">
        <v>29.4</v>
      </c>
      <c r="AW37" s="56">
        <v>52.3</v>
      </c>
      <c r="AX37" s="59">
        <v>50.5</v>
      </c>
      <c r="AY37" s="41">
        <v>23.5</v>
      </c>
      <c r="AZ37" s="56">
        <v>29.1</v>
      </c>
      <c r="BA37" s="59">
        <v>29.5</v>
      </c>
      <c r="BB37" s="41">
        <v>47.1</v>
      </c>
      <c r="BC37" s="56">
        <v>7.7</v>
      </c>
      <c r="BD37" s="32">
        <v>9.5</v>
      </c>
      <c r="BH37" s="41">
        <v>0</v>
      </c>
      <c r="BI37" s="41">
        <v>1</v>
      </c>
      <c r="BJ37" s="32">
        <v>1.2</v>
      </c>
      <c r="BK37" s="32">
        <v>57.1</v>
      </c>
      <c r="BL37" s="32">
        <v>83.4</v>
      </c>
      <c r="BM37" s="32">
        <v>83.3</v>
      </c>
      <c r="BN37" s="32">
        <v>100</v>
      </c>
      <c r="BO37" s="32">
        <v>82.7</v>
      </c>
      <c r="BP37" s="32">
        <v>83.3</v>
      </c>
      <c r="BQ37" s="41">
        <v>54.5</v>
      </c>
      <c r="BR37" s="32">
        <v>74.2</v>
      </c>
      <c r="BS37" s="32">
        <v>75.400000000000006</v>
      </c>
      <c r="BT37" s="32">
        <v>100</v>
      </c>
      <c r="BU37" s="32">
        <v>87.1</v>
      </c>
      <c r="BV37" s="32">
        <v>87.6</v>
      </c>
      <c r="BW37" s="41">
        <v>0</v>
      </c>
      <c r="BX37" s="41">
        <v>-5.8</v>
      </c>
      <c r="BY37" s="41">
        <v>-5.8999999999999897</v>
      </c>
      <c r="BZ37" s="41">
        <v>11</v>
      </c>
      <c r="CA37" s="41">
        <v>11.3</v>
      </c>
      <c r="CB37" s="41">
        <v>11.2</v>
      </c>
      <c r="CC37" s="57" t="s">
        <v>306</v>
      </c>
      <c r="CD37" s="57" t="s">
        <v>306</v>
      </c>
      <c r="CE37" s="57" t="s">
        <v>306</v>
      </c>
      <c r="CF37" s="32">
        <v>14.43</v>
      </c>
      <c r="CG37" s="32">
        <v>14.525</v>
      </c>
      <c r="CH37" s="32">
        <v>14.55</v>
      </c>
      <c r="CI37" s="32"/>
      <c r="CJ37" s="32"/>
      <c r="CK37" s="32"/>
      <c r="CL37" s="41" t="s">
        <v>306</v>
      </c>
      <c r="CM37" s="31" t="s">
        <v>306</v>
      </c>
      <c r="CN37" s="55" t="s">
        <v>306</v>
      </c>
      <c r="CO37" s="41">
        <v>77.099999999999994</v>
      </c>
      <c r="CP37" s="41">
        <v>82.5</v>
      </c>
      <c r="CQ37" s="41">
        <v>75.5</v>
      </c>
      <c r="CR37" s="41">
        <v>6</v>
      </c>
      <c r="CS37" s="41">
        <v>5.5</v>
      </c>
      <c r="CT37" s="41">
        <v>5.7</v>
      </c>
      <c r="CU37" s="56">
        <v>41.6</v>
      </c>
      <c r="CV37" s="56">
        <v>43.2</v>
      </c>
      <c r="CW37" s="56">
        <v>43.5</v>
      </c>
      <c r="CX37" s="32" t="str">
        <f t="shared" si="1"/>
        <v>9830477B</v>
      </c>
      <c r="CY37" s="41" t="s">
        <v>306</v>
      </c>
      <c r="CZ37" s="41" t="s">
        <v>306</v>
      </c>
      <c r="DA37" s="41" t="s">
        <v>306</v>
      </c>
      <c r="DD37" s="60"/>
    </row>
    <row r="38" spans="1:108">
      <c r="A38" s="30" t="s">
        <v>169</v>
      </c>
      <c r="B38" s="30" t="s">
        <v>83</v>
      </c>
      <c r="C38" s="30" t="s">
        <v>24</v>
      </c>
      <c r="D38" s="30" t="s">
        <v>122</v>
      </c>
      <c r="E38" s="30" t="s">
        <v>108</v>
      </c>
      <c r="F38" s="31">
        <v>175</v>
      </c>
      <c r="G38" s="31">
        <v>46</v>
      </c>
      <c r="H38" s="31">
        <v>30</v>
      </c>
      <c r="I38" s="31">
        <v>120</v>
      </c>
      <c r="J38" s="55">
        <v>52</v>
      </c>
      <c r="K38" s="55" t="s">
        <v>10</v>
      </c>
      <c r="L38" s="31">
        <v>118</v>
      </c>
      <c r="M38" s="55">
        <v>50</v>
      </c>
      <c r="N38" s="55" t="s">
        <v>10</v>
      </c>
      <c r="O38" s="31">
        <v>126</v>
      </c>
      <c r="P38" s="55">
        <v>48</v>
      </c>
      <c r="Q38" s="55" t="s">
        <v>10</v>
      </c>
      <c r="R38" s="55">
        <f>VLOOKUP($B38,Extract_R_20_10_25!$B$2:$H$75,2,FALSE)</f>
        <v>128</v>
      </c>
      <c r="S38" s="31">
        <f>VLOOKUP($B38,Extract_R_20_10_25!$B$2:$H$75,3,FALSE)</f>
        <v>49</v>
      </c>
      <c r="T38" s="55">
        <f>VLOOKUP($B38,Extract_R_20_10_25!$B$2:$H$75,4,FALSE)</f>
        <v>0</v>
      </c>
      <c r="U38" s="41">
        <v>192.9</v>
      </c>
      <c r="V38" s="41">
        <v>129.69999999999999</v>
      </c>
      <c r="W38" s="41">
        <v>137.9</v>
      </c>
      <c r="X38" s="41">
        <v>74.599999999999994</v>
      </c>
      <c r="Y38" s="41">
        <v>48.1</v>
      </c>
      <c r="Z38" s="41">
        <v>48</v>
      </c>
      <c r="AA38" s="41">
        <v>2.9</v>
      </c>
      <c r="AB38" s="41">
        <v>15.7</v>
      </c>
      <c r="AC38" s="41">
        <v>15.4</v>
      </c>
      <c r="AD38" s="41">
        <v>72.8</v>
      </c>
      <c r="AE38" s="56">
        <v>94.7</v>
      </c>
      <c r="AF38" s="41">
        <v>94.5</v>
      </c>
      <c r="AG38" s="41">
        <v>8.6</v>
      </c>
      <c r="AH38" s="41">
        <v>8</v>
      </c>
      <c r="AI38" s="41">
        <v>8.8000000000000007</v>
      </c>
      <c r="AJ38" s="57">
        <v>86</v>
      </c>
      <c r="AK38" s="57">
        <v>46.7</v>
      </c>
      <c r="AL38" s="57">
        <v>47.8</v>
      </c>
      <c r="AM38" s="57">
        <v>90.7</v>
      </c>
      <c r="AN38" s="57">
        <v>62.3</v>
      </c>
      <c r="AO38" s="57">
        <v>63.4</v>
      </c>
      <c r="AP38" s="58">
        <v>1.68</v>
      </c>
      <c r="AQ38" s="58">
        <v>1.42</v>
      </c>
      <c r="AR38" s="58">
        <v>1.43</v>
      </c>
      <c r="AS38" s="41">
        <v>18</v>
      </c>
      <c r="AT38" s="41">
        <v>21.5</v>
      </c>
      <c r="AU38" s="41">
        <v>21.4</v>
      </c>
      <c r="AV38" s="41">
        <v>11.4</v>
      </c>
      <c r="AW38" s="56">
        <v>52.3</v>
      </c>
      <c r="AX38" s="59">
        <v>50.5</v>
      </c>
      <c r="AY38" s="41">
        <v>57.1</v>
      </c>
      <c r="AZ38" s="56">
        <v>29.1</v>
      </c>
      <c r="BA38" s="59">
        <v>29.5</v>
      </c>
      <c r="BB38" s="41">
        <v>14.3</v>
      </c>
      <c r="BC38" s="56">
        <v>7.7</v>
      </c>
      <c r="BD38" s="32">
        <v>9.5</v>
      </c>
      <c r="BH38" s="41">
        <v>5.7</v>
      </c>
      <c r="BI38" s="41">
        <v>1</v>
      </c>
      <c r="BJ38" s="32">
        <v>1.2</v>
      </c>
      <c r="BK38" s="32">
        <v>100</v>
      </c>
      <c r="BL38" s="32">
        <v>83.4</v>
      </c>
      <c r="BM38" s="32">
        <v>83.3</v>
      </c>
      <c r="BN38" s="32">
        <v>68.400000000000006</v>
      </c>
      <c r="BO38" s="32">
        <v>82.7</v>
      </c>
      <c r="BP38" s="32">
        <v>83.3</v>
      </c>
      <c r="BQ38" s="41">
        <v>75</v>
      </c>
      <c r="BR38" s="32">
        <v>74.2</v>
      </c>
      <c r="BS38" s="32">
        <v>75.400000000000006</v>
      </c>
      <c r="BT38" s="32">
        <v>50</v>
      </c>
      <c r="BU38" s="32">
        <v>87.1</v>
      </c>
      <c r="BV38" s="32">
        <v>87.6</v>
      </c>
      <c r="BW38" s="41">
        <v>0</v>
      </c>
      <c r="BX38" s="41">
        <v>-5.8</v>
      </c>
      <c r="BY38" s="41">
        <v>-5.8999999999999897</v>
      </c>
      <c r="BZ38" s="41">
        <v>7.6</v>
      </c>
      <c r="CA38" s="41">
        <v>11.3</v>
      </c>
      <c r="CB38" s="41">
        <v>11.2</v>
      </c>
      <c r="CC38" s="57" t="s">
        <v>306</v>
      </c>
      <c r="CD38" s="57" t="s">
        <v>306</v>
      </c>
      <c r="CE38" s="57" t="s">
        <v>306</v>
      </c>
      <c r="CF38" s="32">
        <v>12.734999999999999</v>
      </c>
      <c r="CG38" s="32">
        <v>14.525</v>
      </c>
      <c r="CH38" s="32">
        <v>14.55</v>
      </c>
      <c r="CI38" s="32"/>
      <c r="CJ38" s="32"/>
      <c r="CK38" s="32"/>
      <c r="CL38" s="41" t="s">
        <v>306</v>
      </c>
      <c r="CM38" s="31" t="s">
        <v>306</v>
      </c>
      <c r="CN38" s="55" t="s">
        <v>306</v>
      </c>
      <c r="CO38" s="41">
        <v>59.2</v>
      </c>
      <c r="CP38" s="41">
        <v>82.5</v>
      </c>
      <c r="CQ38" s="41">
        <v>75.5</v>
      </c>
      <c r="CR38" s="41">
        <v>3.6</v>
      </c>
      <c r="CS38" s="41">
        <v>5.5</v>
      </c>
      <c r="CT38" s="41">
        <v>5.7</v>
      </c>
      <c r="CU38" s="56">
        <v>42.9</v>
      </c>
      <c r="CV38" s="56">
        <v>43.2</v>
      </c>
      <c r="CW38" s="56">
        <v>43.5</v>
      </c>
      <c r="CX38" s="32" t="str">
        <f t="shared" si="1"/>
        <v>9830482G</v>
      </c>
      <c r="CY38" s="41" t="s">
        <v>306</v>
      </c>
      <c r="CZ38" s="41" t="s">
        <v>306</v>
      </c>
      <c r="DA38" s="41" t="s">
        <v>306</v>
      </c>
      <c r="DD38" s="60"/>
    </row>
    <row r="39" spans="1:108">
      <c r="A39" s="30" t="s">
        <v>170</v>
      </c>
      <c r="B39" s="30" t="s">
        <v>84</v>
      </c>
      <c r="C39" s="30" t="s">
        <v>24</v>
      </c>
      <c r="D39" s="30" t="s">
        <v>131</v>
      </c>
      <c r="E39" s="30" t="s">
        <v>108</v>
      </c>
      <c r="F39" s="31">
        <v>180</v>
      </c>
      <c r="G39" s="31" t="s">
        <v>10</v>
      </c>
      <c r="H39" s="31" t="s">
        <v>10</v>
      </c>
      <c r="I39" s="31">
        <v>150</v>
      </c>
      <c r="J39" s="55" t="s">
        <v>10</v>
      </c>
      <c r="K39" s="55" t="s">
        <v>10</v>
      </c>
      <c r="L39" s="31">
        <v>150</v>
      </c>
      <c r="M39" s="55" t="s">
        <v>10</v>
      </c>
      <c r="N39" s="55" t="s">
        <v>10</v>
      </c>
      <c r="O39" s="31">
        <v>151</v>
      </c>
      <c r="P39" s="55" t="s">
        <v>10</v>
      </c>
      <c r="Q39" s="55" t="s">
        <v>10</v>
      </c>
      <c r="R39" s="55">
        <f>VLOOKUP($B39,Extract_R_20_10_25!$B$2:$H$75,2,FALSE)</f>
        <v>147</v>
      </c>
      <c r="S39" s="31">
        <f>VLOOKUP($B39,Extract_R_20_10_25!$B$2:$H$75,3,FALSE)</f>
        <v>0</v>
      </c>
      <c r="T39" s="55">
        <f>VLOOKUP($B39,Extract_R_20_10_25!$B$2:$H$75,4,FALSE)</f>
        <v>0</v>
      </c>
      <c r="U39" s="41">
        <v>144</v>
      </c>
      <c r="V39" s="41">
        <v>129.69999999999999</v>
      </c>
      <c r="W39" s="41">
        <v>137.9</v>
      </c>
      <c r="X39" s="41">
        <v>65.3</v>
      </c>
      <c r="Y39" s="41">
        <v>48.1</v>
      </c>
      <c r="Z39" s="41">
        <v>48</v>
      </c>
      <c r="AA39" s="41">
        <v>8</v>
      </c>
      <c r="AB39" s="41">
        <v>15.7</v>
      </c>
      <c r="AC39" s="41">
        <v>15.4</v>
      </c>
      <c r="AD39" s="41">
        <v>78.599999999999994</v>
      </c>
      <c r="AE39" s="56">
        <v>94.7</v>
      </c>
      <c r="AF39" s="41">
        <v>94.5</v>
      </c>
      <c r="AG39" s="41">
        <v>2.5</v>
      </c>
      <c r="AH39" s="41">
        <v>8</v>
      </c>
      <c r="AI39" s="41">
        <v>8.8000000000000007</v>
      </c>
      <c r="AJ39" s="57">
        <v>74.400000000000006</v>
      </c>
      <c r="AK39" s="57">
        <v>46.7</v>
      </c>
      <c r="AL39" s="57">
        <v>47.8</v>
      </c>
      <c r="AM39" s="57">
        <v>87.2</v>
      </c>
      <c r="AN39" s="57">
        <v>62.3</v>
      </c>
      <c r="AO39" s="57">
        <v>63.4</v>
      </c>
      <c r="AP39" s="58">
        <v>1.64</v>
      </c>
      <c r="AQ39" s="58">
        <v>1.42</v>
      </c>
      <c r="AR39" s="58">
        <v>1.43</v>
      </c>
      <c r="AS39" s="41">
        <v>18.899999999999999</v>
      </c>
      <c r="AT39" s="41">
        <v>21.5</v>
      </c>
      <c r="AU39" s="41">
        <v>21.4</v>
      </c>
      <c r="AV39" s="41">
        <v>32.299999999999997</v>
      </c>
      <c r="AW39" s="56">
        <v>52.3</v>
      </c>
      <c r="AX39" s="59">
        <v>50.5</v>
      </c>
      <c r="AY39" s="41">
        <v>29</v>
      </c>
      <c r="AZ39" s="56">
        <v>29.1</v>
      </c>
      <c r="BA39" s="59">
        <v>29.5</v>
      </c>
      <c r="BB39" s="41">
        <v>25.8</v>
      </c>
      <c r="BC39" s="56">
        <v>7.7</v>
      </c>
      <c r="BD39" s="32">
        <v>9.5</v>
      </c>
      <c r="BH39" s="41">
        <v>0</v>
      </c>
      <c r="BI39" s="41">
        <v>1</v>
      </c>
      <c r="BJ39" s="32">
        <v>1.2</v>
      </c>
      <c r="BK39" s="32">
        <v>46.2</v>
      </c>
      <c r="BL39" s="32">
        <v>83.4</v>
      </c>
      <c r="BM39" s="32">
        <v>83.3</v>
      </c>
      <c r="BN39" s="32">
        <v>87.5</v>
      </c>
      <c r="BO39" s="32">
        <v>82.7</v>
      </c>
      <c r="BP39" s="32">
        <v>83.3</v>
      </c>
      <c r="BQ39" s="41">
        <v>100</v>
      </c>
      <c r="BR39" s="32">
        <v>74.2</v>
      </c>
      <c r="BS39" s="32">
        <v>75.400000000000006</v>
      </c>
      <c r="BT39" s="32">
        <v>73.3</v>
      </c>
      <c r="BU39" s="32">
        <v>87.1</v>
      </c>
      <c r="BV39" s="32">
        <v>87.6</v>
      </c>
      <c r="BW39" s="41">
        <v>20.9</v>
      </c>
      <c r="BX39" s="41">
        <v>-5.8</v>
      </c>
      <c r="BY39" s="41">
        <v>-5.8999999999999897</v>
      </c>
      <c r="BZ39" s="41">
        <v>8.3000000000000007</v>
      </c>
      <c r="CA39" s="41">
        <v>11.3</v>
      </c>
      <c r="CB39" s="41">
        <v>11.2</v>
      </c>
      <c r="CC39" s="57" t="s">
        <v>306</v>
      </c>
      <c r="CD39" s="57" t="s">
        <v>306</v>
      </c>
      <c r="CE39" s="57" t="s">
        <v>306</v>
      </c>
      <c r="CF39" s="32">
        <v>13.565</v>
      </c>
      <c r="CG39" s="32">
        <v>14.525</v>
      </c>
      <c r="CH39" s="32">
        <v>14.55</v>
      </c>
      <c r="CI39" s="32"/>
      <c r="CJ39" s="32"/>
      <c r="CK39" s="32"/>
      <c r="CL39" s="41" t="s">
        <v>306</v>
      </c>
      <c r="CM39" s="31" t="s">
        <v>306</v>
      </c>
      <c r="CN39" s="55" t="s">
        <v>306</v>
      </c>
      <c r="CO39" s="41">
        <v>91.9</v>
      </c>
      <c r="CP39" s="41">
        <v>82.5</v>
      </c>
      <c r="CQ39" s="41">
        <v>75.5</v>
      </c>
      <c r="CR39" s="41">
        <v>3</v>
      </c>
      <c r="CS39" s="41">
        <v>5.5</v>
      </c>
      <c r="CT39" s="41">
        <v>5.7</v>
      </c>
      <c r="CU39" s="56">
        <v>43.2</v>
      </c>
      <c r="CV39" s="56">
        <v>43.2</v>
      </c>
      <c r="CW39" s="56">
        <v>43.5</v>
      </c>
      <c r="CX39" s="32" t="str">
        <f t="shared" si="1"/>
        <v>9830493U</v>
      </c>
      <c r="CY39" s="41" t="s">
        <v>306</v>
      </c>
      <c r="CZ39" s="41" t="s">
        <v>306</v>
      </c>
      <c r="DA39" s="41" t="s">
        <v>306</v>
      </c>
      <c r="DD39" s="60"/>
    </row>
    <row r="40" spans="1:108">
      <c r="A40" s="30" t="s">
        <v>171</v>
      </c>
      <c r="B40" s="30" t="s">
        <v>85</v>
      </c>
      <c r="C40" s="30" t="s">
        <v>100</v>
      </c>
      <c r="D40" s="30" t="s">
        <v>129</v>
      </c>
      <c r="E40" s="30" t="s">
        <v>109</v>
      </c>
      <c r="F40" s="31">
        <v>130</v>
      </c>
      <c r="G40" s="31" t="s">
        <v>10</v>
      </c>
      <c r="H40" s="31" t="s">
        <v>10</v>
      </c>
      <c r="I40" s="31">
        <v>76</v>
      </c>
      <c r="J40" s="55" t="s">
        <v>10</v>
      </c>
      <c r="K40" s="55" t="s">
        <v>10</v>
      </c>
      <c r="L40" s="31">
        <v>85</v>
      </c>
      <c r="M40" s="55" t="s">
        <v>10</v>
      </c>
      <c r="N40" s="55" t="s">
        <v>10</v>
      </c>
      <c r="O40" s="31">
        <v>81</v>
      </c>
      <c r="P40" s="55" t="s">
        <v>10</v>
      </c>
      <c r="Q40" s="55" t="s">
        <v>10</v>
      </c>
      <c r="R40" s="55">
        <f>VLOOKUP($B40,Extract_R_20_10_25!$B$2:$H$75,2,FALSE)</f>
        <v>80</v>
      </c>
      <c r="S40" s="31">
        <f>VLOOKUP($B40,Extract_R_20_10_25!$B$2:$H$75,3,FALSE)</f>
        <v>0</v>
      </c>
      <c r="T40" s="55">
        <f>VLOOKUP($B40,Extract_R_20_10_25!$B$2:$H$75,4,FALSE)</f>
        <v>0</v>
      </c>
      <c r="U40" s="41">
        <v>196.6</v>
      </c>
      <c r="V40" s="41">
        <v>150.80000000000001</v>
      </c>
      <c r="W40" s="41">
        <v>137.9</v>
      </c>
      <c r="X40" s="41">
        <v>67.900000000000006</v>
      </c>
      <c r="Y40" s="41">
        <v>47.7</v>
      </c>
      <c r="Z40" s="41">
        <v>48</v>
      </c>
      <c r="AA40" s="41">
        <v>3.7</v>
      </c>
      <c r="AB40" s="41">
        <v>14.4</v>
      </c>
      <c r="AC40" s="41">
        <v>15.4</v>
      </c>
      <c r="AD40" s="41">
        <v>78.400000000000006</v>
      </c>
      <c r="AE40" s="56">
        <v>93.6</v>
      </c>
      <c r="AF40" s="41">
        <v>94.5</v>
      </c>
      <c r="AG40" s="41">
        <v>8.3000000000000007</v>
      </c>
      <c r="AH40" s="41">
        <v>12</v>
      </c>
      <c r="AI40" s="41">
        <v>8.8000000000000007</v>
      </c>
      <c r="AJ40" s="57">
        <v>75</v>
      </c>
      <c r="AK40" s="57">
        <v>51.2</v>
      </c>
      <c r="AL40" s="57">
        <v>47.8</v>
      </c>
      <c r="AM40" s="57">
        <v>100</v>
      </c>
      <c r="AN40" s="57">
        <v>67.099999999999994</v>
      </c>
      <c r="AO40" s="57">
        <v>63.4</v>
      </c>
      <c r="AP40" s="58">
        <v>1.5</v>
      </c>
      <c r="AQ40" s="58">
        <v>1.48</v>
      </c>
      <c r="AR40" s="58">
        <v>1.43</v>
      </c>
      <c r="AS40" s="41">
        <v>20.2</v>
      </c>
      <c r="AT40" s="41">
        <v>20.9</v>
      </c>
      <c r="AU40" s="41">
        <v>21.4</v>
      </c>
      <c r="AV40" s="41">
        <v>23.5</v>
      </c>
      <c r="AW40" s="56">
        <v>44.8</v>
      </c>
      <c r="AX40" s="59">
        <v>50.5</v>
      </c>
      <c r="AY40" s="41">
        <v>17.600000000000001</v>
      </c>
      <c r="AZ40" s="56">
        <v>30.7</v>
      </c>
      <c r="BA40" s="59">
        <v>29.5</v>
      </c>
      <c r="BB40" s="41">
        <v>29.4</v>
      </c>
      <c r="BC40" s="56">
        <v>15.7</v>
      </c>
      <c r="BD40" s="32">
        <v>9.5</v>
      </c>
      <c r="BH40" s="41">
        <v>17.600000000000001</v>
      </c>
      <c r="BI40" s="41">
        <v>1.8</v>
      </c>
      <c r="BJ40" s="32">
        <v>1.2</v>
      </c>
      <c r="BK40" s="32">
        <v>60</v>
      </c>
      <c r="BL40" s="32">
        <v>83</v>
      </c>
      <c r="BM40" s="32">
        <v>83.3</v>
      </c>
      <c r="BN40" s="32">
        <v>100</v>
      </c>
      <c r="BO40" s="32">
        <v>85.5</v>
      </c>
      <c r="BP40" s="32">
        <v>83.3</v>
      </c>
      <c r="BQ40" s="41">
        <v>100</v>
      </c>
      <c r="BR40" s="32">
        <v>77.7</v>
      </c>
      <c r="BS40" s="32">
        <v>75.400000000000006</v>
      </c>
      <c r="BT40" s="32">
        <v>78.900000000000006</v>
      </c>
      <c r="BU40" s="32">
        <v>89.2</v>
      </c>
      <c r="BV40" s="32">
        <v>87.6</v>
      </c>
      <c r="BW40" s="41">
        <v>-28.6</v>
      </c>
      <c r="BX40" s="41">
        <v>-6.5</v>
      </c>
      <c r="BY40" s="41">
        <v>-5.8999999999999897</v>
      </c>
      <c r="BZ40" s="41">
        <v>7.6</v>
      </c>
      <c r="CA40" s="41">
        <v>11</v>
      </c>
      <c r="CB40" s="41">
        <v>11.2</v>
      </c>
      <c r="CC40" s="57" t="s">
        <v>306</v>
      </c>
      <c r="CD40" s="57" t="s">
        <v>306</v>
      </c>
      <c r="CE40" s="57" t="s">
        <v>306</v>
      </c>
      <c r="CF40" s="32">
        <v>13.62</v>
      </c>
      <c r="CG40" s="32">
        <v>14.625</v>
      </c>
      <c r="CH40" s="32">
        <v>14.55</v>
      </c>
      <c r="CI40" s="32"/>
      <c r="CJ40" s="32"/>
      <c r="CK40" s="32"/>
      <c r="CL40" s="55" t="s">
        <v>306</v>
      </c>
      <c r="CM40" s="55" t="s">
        <v>306</v>
      </c>
      <c r="CN40" s="55" t="s">
        <v>306</v>
      </c>
      <c r="CO40" s="41">
        <v>27</v>
      </c>
      <c r="CP40" s="41">
        <v>51.5</v>
      </c>
      <c r="CQ40" s="41">
        <v>75.5</v>
      </c>
      <c r="CR40" s="41">
        <v>6.1</v>
      </c>
      <c r="CS40" s="41">
        <v>6.1</v>
      </c>
      <c r="CT40" s="41">
        <v>5.7</v>
      </c>
      <c r="CU40" s="56">
        <v>39.9</v>
      </c>
      <c r="CV40" s="56">
        <v>44.4</v>
      </c>
      <c r="CW40" s="56">
        <v>43.5</v>
      </c>
      <c r="CX40" s="32" t="str">
        <f t="shared" si="1"/>
        <v>9830518W</v>
      </c>
      <c r="CY40" s="41" t="s">
        <v>306</v>
      </c>
      <c r="CZ40" s="41" t="s">
        <v>306</v>
      </c>
      <c r="DA40" s="41" t="s">
        <v>306</v>
      </c>
      <c r="DD40" s="60"/>
    </row>
    <row r="41" spans="1:108">
      <c r="A41" s="30" t="s">
        <v>172</v>
      </c>
      <c r="B41" s="30" t="s">
        <v>86</v>
      </c>
      <c r="C41" s="30" t="s">
        <v>24</v>
      </c>
      <c r="D41" s="30" t="s">
        <v>132</v>
      </c>
      <c r="E41" s="30" t="s">
        <v>108</v>
      </c>
      <c r="F41" s="31">
        <v>253</v>
      </c>
      <c r="G41" s="31" t="s">
        <v>10</v>
      </c>
      <c r="H41" s="31" t="s">
        <v>10</v>
      </c>
      <c r="I41" s="31">
        <v>159</v>
      </c>
      <c r="J41" s="55" t="s">
        <v>10</v>
      </c>
      <c r="K41" s="55" t="s">
        <v>10</v>
      </c>
      <c r="L41" s="31">
        <v>166</v>
      </c>
      <c r="M41" s="55" t="s">
        <v>10</v>
      </c>
      <c r="N41" s="55" t="s">
        <v>10</v>
      </c>
      <c r="O41" s="31">
        <v>160</v>
      </c>
      <c r="P41" s="55" t="s">
        <v>10</v>
      </c>
      <c r="Q41" s="55" t="s">
        <v>10</v>
      </c>
      <c r="R41" s="55">
        <f>VLOOKUP($B41,Extract_R_20_10_25!$B$2:$H$75,2,FALSE)</f>
        <v>157</v>
      </c>
      <c r="S41" s="31">
        <f>VLOOKUP($B41,Extract_R_20_10_25!$B$2:$H$75,3,FALSE)</f>
        <v>0</v>
      </c>
      <c r="T41" s="55">
        <f>VLOOKUP($B41,Extract_R_20_10_25!$B$2:$H$75,4,FALSE)</f>
        <v>0</v>
      </c>
      <c r="U41" s="41">
        <v>174.4</v>
      </c>
      <c r="V41" s="41">
        <v>129.69999999999999</v>
      </c>
      <c r="W41" s="41">
        <v>137.9</v>
      </c>
      <c r="X41" s="41">
        <v>64.400000000000006</v>
      </c>
      <c r="Y41" s="41">
        <v>48.1</v>
      </c>
      <c r="Z41" s="41">
        <v>48</v>
      </c>
      <c r="AA41" s="41">
        <v>2.5</v>
      </c>
      <c r="AB41" s="41">
        <v>15.7</v>
      </c>
      <c r="AC41" s="41">
        <v>15.4</v>
      </c>
      <c r="AD41" s="41">
        <v>75.3</v>
      </c>
      <c r="AE41" s="56">
        <v>94.7</v>
      </c>
      <c r="AF41" s="41">
        <v>94.5</v>
      </c>
      <c r="AG41" s="41">
        <v>8.3000000000000007</v>
      </c>
      <c r="AH41" s="41">
        <v>8</v>
      </c>
      <c r="AI41" s="41">
        <v>8.8000000000000007</v>
      </c>
      <c r="AJ41" s="57">
        <v>66.7</v>
      </c>
      <c r="AK41" s="57">
        <v>46.7</v>
      </c>
      <c r="AL41" s="57">
        <v>47.8</v>
      </c>
      <c r="AM41" s="57">
        <v>82.9</v>
      </c>
      <c r="AN41" s="57">
        <v>62.3</v>
      </c>
      <c r="AO41" s="57">
        <v>63.4</v>
      </c>
      <c r="AP41" s="58">
        <v>1.52</v>
      </c>
      <c r="AQ41" s="58">
        <v>1.42</v>
      </c>
      <c r="AR41" s="58">
        <v>1.43</v>
      </c>
      <c r="AS41" s="41">
        <v>20</v>
      </c>
      <c r="AT41" s="41">
        <v>21.5</v>
      </c>
      <c r="AU41" s="41">
        <v>21.4</v>
      </c>
      <c r="AV41" s="41">
        <v>39</v>
      </c>
      <c r="AW41" s="56">
        <v>52.3</v>
      </c>
      <c r="AX41" s="59">
        <v>50.5</v>
      </c>
      <c r="AY41" s="41">
        <v>36.6</v>
      </c>
      <c r="AZ41" s="56">
        <v>29.1</v>
      </c>
      <c r="BA41" s="59">
        <v>29.5</v>
      </c>
      <c r="BB41" s="41">
        <v>2.4</v>
      </c>
      <c r="BC41" s="56">
        <v>7.7</v>
      </c>
      <c r="BD41" s="32">
        <v>9.5</v>
      </c>
      <c r="BH41" s="41">
        <v>0</v>
      </c>
      <c r="BI41" s="41">
        <v>1</v>
      </c>
      <c r="BJ41" s="32">
        <v>1.2</v>
      </c>
      <c r="BK41" s="32">
        <v>87.5</v>
      </c>
      <c r="BL41" s="32">
        <v>83.4</v>
      </c>
      <c r="BM41" s="32">
        <v>83.3</v>
      </c>
      <c r="BN41" s="32">
        <v>85.7</v>
      </c>
      <c r="BO41" s="32">
        <v>82.7</v>
      </c>
      <c r="BP41" s="32">
        <v>83.3</v>
      </c>
      <c r="BQ41" s="41">
        <v>100</v>
      </c>
      <c r="BR41" s="32">
        <v>74.2</v>
      </c>
      <c r="BS41" s="32">
        <v>75.400000000000006</v>
      </c>
      <c r="BT41" s="32">
        <v>87.2</v>
      </c>
      <c r="BU41" s="32">
        <v>87.1</v>
      </c>
      <c r="BV41" s="32">
        <v>87.6</v>
      </c>
      <c r="BW41" s="41">
        <v>0.79999999999999705</v>
      </c>
      <c r="BX41" s="41">
        <v>-5.8</v>
      </c>
      <c r="BY41" s="41">
        <v>-5.8999999999999897</v>
      </c>
      <c r="BZ41" s="41">
        <v>11.4</v>
      </c>
      <c r="CA41" s="41">
        <v>11.3</v>
      </c>
      <c r="CB41" s="41">
        <v>11.2</v>
      </c>
      <c r="CC41" s="57" t="s">
        <v>306</v>
      </c>
      <c r="CD41" s="57" t="s">
        <v>306</v>
      </c>
      <c r="CE41" s="57" t="s">
        <v>306</v>
      </c>
      <c r="CF41" s="32">
        <v>14.28</v>
      </c>
      <c r="CG41" s="32">
        <v>14.525</v>
      </c>
      <c r="CH41" s="32">
        <v>14.55</v>
      </c>
      <c r="CI41" s="32"/>
      <c r="CJ41" s="32"/>
      <c r="CK41" s="32"/>
      <c r="CL41" s="41" t="s">
        <v>306</v>
      </c>
      <c r="CM41" s="31" t="s">
        <v>306</v>
      </c>
      <c r="CN41" s="55" t="s">
        <v>306</v>
      </c>
      <c r="CO41" s="41">
        <v>65.8</v>
      </c>
      <c r="CP41" s="41">
        <v>82.5</v>
      </c>
      <c r="CQ41" s="41">
        <v>75.5</v>
      </c>
      <c r="CR41" s="41">
        <v>3.4</v>
      </c>
      <c r="CS41" s="41">
        <v>5.5</v>
      </c>
      <c r="CT41" s="41">
        <v>5.7</v>
      </c>
      <c r="CU41" s="56">
        <v>37.4</v>
      </c>
      <c r="CV41" s="56">
        <v>43.2</v>
      </c>
      <c r="CW41" s="56">
        <v>43.5</v>
      </c>
      <c r="CX41" s="32" t="str">
        <f t="shared" si="1"/>
        <v>9830522A</v>
      </c>
      <c r="CY41" s="41" t="s">
        <v>306</v>
      </c>
      <c r="CZ41" s="41" t="s">
        <v>306</v>
      </c>
      <c r="DA41" s="41" t="s">
        <v>306</v>
      </c>
      <c r="DD41" s="60"/>
    </row>
    <row r="42" spans="1:108">
      <c r="A42" s="30" t="s">
        <v>173</v>
      </c>
      <c r="B42" s="30" t="s">
        <v>87</v>
      </c>
      <c r="C42" s="30" t="s">
        <v>24</v>
      </c>
      <c r="D42" s="30" t="s">
        <v>40</v>
      </c>
      <c r="E42" s="30" t="s">
        <v>108</v>
      </c>
      <c r="F42" s="31">
        <v>728</v>
      </c>
      <c r="G42" s="31" t="s">
        <v>10</v>
      </c>
      <c r="H42" s="31" t="s">
        <v>10</v>
      </c>
      <c r="I42" s="31">
        <v>420</v>
      </c>
      <c r="J42" s="55" t="s">
        <v>10</v>
      </c>
      <c r="K42" s="55" t="s">
        <v>10</v>
      </c>
      <c r="L42" s="31">
        <v>370</v>
      </c>
      <c r="M42" s="55" t="s">
        <v>10</v>
      </c>
      <c r="N42" s="55" t="s">
        <v>10</v>
      </c>
      <c r="O42" s="31">
        <v>329</v>
      </c>
      <c r="P42" s="55" t="s">
        <v>10</v>
      </c>
      <c r="Q42" s="55" t="s">
        <v>10</v>
      </c>
      <c r="R42" s="55">
        <f>VLOOKUP($B42,Extract_R_20_10_25!$B$2:$H$75,2,FALSE)</f>
        <v>325</v>
      </c>
      <c r="S42" s="31">
        <f>VLOOKUP($B42,Extract_R_20_10_25!$B$2:$H$75,3,FALSE)</f>
        <v>0</v>
      </c>
      <c r="T42" s="55">
        <f>VLOOKUP($B42,Extract_R_20_10_25!$B$2:$H$75,4,FALSE)</f>
        <v>0</v>
      </c>
      <c r="U42" s="41">
        <v>103.2</v>
      </c>
      <c r="V42" s="41">
        <v>129.69999999999999</v>
      </c>
      <c r="W42" s="41">
        <v>137.9</v>
      </c>
      <c r="X42" s="41">
        <v>55.6</v>
      </c>
      <c r="Y42" s="41">
        <v>48.1</v>
      </c>
      <c r="Z42" s="41">
        <v>48</v>
      </c>
      <c r="AA42" s="41">
        <v>3.6</v>
      </c>
      <c r="AB42" s="41">
        <v>15.7</v>
      </c>
      <c r="AC42" s="41">
        <v>15.4</v>
      </c>
      <c r="AD42" s="41">
        <v>78.7</v>
      </c>
      <c r="AE42" s="56">
        <v>94.7</v>
      </c>
      <c r="AF42" s="41">
        <v>94.5</v>
      </c>
      <c r="AG42" s="41">
        <v>4.5999999999999996</v>
      </c>
      <c r="AH42" s="41">
        <v>8</v>
      </c>
      <c r="AI42" s="41">
        <v>8.8000000000000007</v>
      </c>
      <c r="AJ42" s="57">
        <v>48.2</v>
      </c>
      <c r="AK42" s="57">
        <v>46.7</v>
      </c>
      <c r="AL42" s="57">
        <v>47.8</v>
      </c>
      <c r="AM42" s="57">
        <v>76.7</v>
      </c>
      <c r="AN42" s="57">
        <v>62.3</v>
      </c>
      <c r="AO42" s="57">
        <v>63.4</v>
      </c>
      <c r="AP42" s="58">
        <v>1.51</v>
      </c>
      <c r="AQ42" s="58">
        <v>1.42</v>
      </c>
      <c r="AR42" s="58">
        <v>1.43</v>
      </c>
      <c r="AS42" s="41">
        <v>20.6</v>
      </c>
      <c r="AT42" s="41">
        <v>21.5</v>
      </c>
      <c r="AU42" s="41">
        <v>21.4</v>
      </c>
      <c r="AV42" s="41">
        <v>51.5</v>
      </c>
      <c r="AW42" s="56">
        <v>52.3</v>
      </c>
      <c r="AX42" s="59">
        <v>50.5</v>
      </c>
      <c r="AY42" s="41">
        <v>40.4</v>
      </c>
      <c r="AZ42" s="56">
        <v>29.1</v>
      </c>
      <c r="BA42" s="59">
        <v>29.5</v>
      </c>
      <c r="BB42" s="41">
        <v>4</v>
      </c>
      <c r="BC42" s="56">
        <v>7.7</v>
      </c>
      <c r="BD42" s="32">
        <v>9.5</v>
      </c>
      <c r="BH42" s="41">
        <v>0</v>
      </c>
      <c r="BI42" s="41">
        <v>1</v>
      </c>
      <c r="BJ42" s="32">
        <v>1.2</v>
      </c>
      <c r="BK42" s="32">
        <v>77.3</v>
      </c>
      <c r="BL42" s="32">
        <v>83.4</v>
      </c>
      <c r="BM42" s="32">
        <v>83.3</v>
      </c>
      <c r="BN42" s="32">
        <v>76</v>
      </c>
      <c r="BO42" s="32">
        <v>82.7</v>
      </c>
      <c r="BP42" s="32">
        <v>83.3</v>
      </c>
      <c r="BQ42" s="41">
        <v>63.6</v>
      </c>
      <c r="BR42" s="32">
        <v>74.2</v>
      </c>
      <c r="BS42" s="32">
        <v>75.400000000000006</v>
      </c>
      <c r="BT42" s="32">
        <v>94.7</v>
      </c>
      <c r="BU42" s="32">
        <v>87.1</v>
      </c>
      <c r="BV42" s="32">
        <v>87.6</v>
      </c>
      <c r="BW42" s="41">
        <v>-4.5</v>
      </c>
      <c r="BX42" s="41">
        <v>-5.8</v>
      </c>
      <c r="BY42" s="41">
        <v>-5.8999999999999897</v>
      </c>
      <c r="BZ42" s="41">
        <v>11.5</v>
      </c>
      <c r="CA42" s="41">
        <v>11.3</v>
      </c>
      <c r="CB42" s="41">
        <v>11.2</v>
      </c>
      <c r="CC42" s="57" t="s">
        <v>306</v>
      </c>
      <c r="CD42" s="57" t="s">
        <v>306</v>
      </c>
      <c r="CE42" s="57" t="s">
        <v>306</v>
      </c>
      <c r="CF42" s="32">
        <v>14.19</v>
      </c>
      <c r="CG42" s="32">
        <v>14.525</v>
      </c>
      <c r="CH42" s="32">
        <v>14.55</v>
      </c>
      <c r="CI42" s="32"/>
      <c r="CJ42" s="32"/>
      <c r="CK42" s="32"/>
      <c r="CL42" s="41" t="s">
        <v>306</v>
      </c>
      <c r="CM42" s="31" t="s">
        <v>306</v>
      </c>
      <c r="CN42" s="55" t="s">
        <v>306</v>
      </c>
      <c r="CO42" s="41">
        <v>84.6</v>
      </c>
      <c r="CP42" s="41">
        <v>82.5</v>
      </c>
      <c r="CQ42" s="41">
        <v>75.5</v>
      </c>
      <c r="CR42" s="41">
        <v>4.2</v>
      </c>
      <c r="CS42" s="41">
        <v>5.5</v>
      </c>
      <c r="CT42" s="41">
        <v>5.7</v>
      </c>
      <c r="CU42" s="56">
        <v>41</v>
      </c>
      <c r="CV42" s="56">
        <v>43.2</v>
      </c>
      <c r="CW42" s="56">
        <v>43.5</v>
      </c>
      <c r="CX42" s="32" t="str">
        <f t="shared" si="1"/>
        <v>9830524C</v>
      </c>
      <c r="CY42" s="41" t="s">
        <v>306</v>
      </c>
      <c r="CZ42" s="41" t="s">
        <v>306</v>
      </c>
      <c r="DA42" s="41" t="s">
        <v>306</v>
      </c>
      <c r="DD42" s="60"/>
    </row>
    <row r="43" spans="1:108">
      <c r="A43" s="30" t="s">
        <v>174</v>
      </c>
      <c r="B43" s="30" t="s">
        <v>88</v>
      </c>
      <c r="C43" s="30" t="s">
        <v>24</v>
      </c>
      <c r="D43" s="30" t="s">
        <v>40</v>
      </c>
      <c r="E43" s="30" t="s">
        <v>108</v>
      </c>
      <c r="F43" s="31">
        <v>542</v>
      </c>
      <c r="G43" s="31">
        <v>70</v>
      </c>
      <c r="H43" s="31">
        <v>7</v>
      </c>
      <c r="I43" s="31">
        <v>477</v>
      </c>
      <c r="J43" s="55">
        <v>67</v>
      </c>
      <c r="K43" s="55" t="s">
        <v>10</v>
      </c>
      <c r="L43" s="31">
        <v>467</v>
      </c>
      <c r="M43" s="55">
        <v>72</v>
      </c>
      <c r="N43" s="55" t="s">
        <v>10</v>
      </c>
      <c r="O43" s="31">
        <v>467</v>
      </c>
      <c r="P43" s="55">
        <v>67</v>
      </c>
      <c r="Q43" s="55" t="s">
        <v>10</v>
      </c>
      <c r="R43" s="55">
        <f>VLOOKUP($B43,Extract_R_20_10_25!$B$2:$H$75,2,FALSE)</f>
        <v>468</v>
      </c>
      <c r="S43" s="31">
        <f>VLOOKUP($B43,Extract_R_20_10_25!$B$2:$H$75,3,FALSE)</f>
        <v>65</v>
      </c>
      <c r="T43" s="55">
        <f>VLOOKUP($B43,Extract_R_20_10_25!$B$2:$H$75,4,FALSE)</f>
        <v>0</v>
      </c>
      <c r="U43" s="41">
        <v>100.5</v>
      </c>
      <c r="V43" s="41">
        <v>129.69999999999999</v>
      </c>
      <c r="W43" s="41">
        <v>137.9</v>
      </c>
      <c r="X43" s="41">
        <v>41.6</v>
      </c>
      <c r="Y43" s="41">
        <v>48.1</v>
      </c>
      <c r="Z43" s="41">
        <v>48</v>
      </c>
      <c r="AA43" s="41">
        <v>15.2</v>
      </c>
      <c r="AB43" s="41">
        <v>15.7</v>
      </c>
      <c r="AC43" s="41">
        <v>15.4</v>
      </c>
      <c r="AD43" s="41">
        <v>100.5</v>
      </c>
      <c r="AE43" s="56">
        <v>94.7</v>
      </c>
      <c r="AF43" s="41">
        <v>94.5</v>
      </c>
      <c r="AG43" s="41">
        <v>4.7</v>
      </c>
      <c r="AH43" s="41">
        <v>8</v>
      </c>
      <c r="AI43" s="41">
        <v>8.8000000000000007</v>
      </c>
      <c r="AJ43" s="57">
        <v>40.200000000000003</v>
      </c>
      <c r="AK43" s="57">
        <v>46.7</v>
      </c>
      <c r="AL43" s="57">
        <v>47.8</v>
      </c>
      <c r="AM43" s="57">
        <v>47.9</v>
      </c>
      <c r="AN43" s="57">
        <v>62.3</v>
      </c>
      <c r="AO43" s="57">
        <v>63.4</v>
      </c>
      <c r="AP43" s="58">
        <v>1.36</v>
      </c>
      <c r="AQ43" s="58">
        <v>1.42</v>
      </c>
      <c r="AR43" s="58">
        <v>1.43</v>
      </c>
      <c r="AS43" s="41">
        <v>22.1</v>
      </c>
      <c r="AT43" s="41">
        <v>21.5</v>
      </c>
      <c r="AU43" s="41">
        <v>21.4</v>
      </c>
      <c r="AV43" s="41">
        <v>52.9</v>
      </c>
      <c r="AW43" s="56">
        <v>52.3</v>
      </c>
      <c r="AX43" s="59">
        <v>50.5</v>
      </c>
      <c r="AY43" s="41">
        <v>35.299999999999997</v>
      </c>
      <c r="AZ43" s="56">
        <v>29.1</v>
      </c>
      <c r="BA43" s="59">
        <v>29.5</v>
      </c>
      <c r="BB43" s="41">
        <v>2.4</v>
      </c>
      <c r="BC43" s="56">
        <v>7.7</v>
      </c>
      <c r="BD43" s="32">
        <v>9.5</v>
      </c>
      <c r="BH43" s="41">
        <v>2.4</v>
      </c>
      <c r="BI43" s="41">
        <v>1</v>
      </c>
      <c r="BJ43" s="32">
        <v>1.2</v>
      </c>
      <c r="BK43" s="32">
        <v>85.5</v>
      </c>
      <c r="BL43" s="32">
        <v>83.4</v>
      </c>
      <c r="BM43" s="32">
        <v>83.3</v>
      </c>
      <c r="BN43" s="32">
        <v>88.6</v>
      </c>
      <c r="BO43" s="32">
        <v>82.7</v>
      </c>
      <c r="BP43" s="32">
        <v>83.3</v>
      </c>
      <c r="BQ43" s="41">
        <v>63.2</v>
      </c>
      <c r="BR43" s="32">
        <v>74.2</v>
      </c>
      <c r="BS43" s="32">
        <v>75.400000000000006</v>
      </c>
      <c r="BT43" s="32">
        <v>82.6</v>
      </c>
      <c r="BU43" s="32">
        <v>87.1</v>
      </c>
      <c r="BV43" s="32">
        <v>87.6</v>
      </c>
      <c r="BW43" s="41">
        <v>-17.7</v>
      </c>
      <c r="BX43" s="41">
        <v>-5.8</v>
      </c>
      <c r="BY43" s="41">
        <v>-5.8999999999999897</v>
      </c>
      <c r="BZ43" s="41">
        <v>12.9</v>
      </c>
      <c r="CA43" s="41">
        <v>11.3</v>
      </c>
      <c r="CB43" s="41">
        <v>11.2</v>
      </c>
      <c r="CC43" s="57" t="s">
        <v>306</v>
      </c>
      <c r="CD43" s="57" t="s">
        <v>306</v>
      </c>
      <c r="CE43" s="57" t="s">
        <v>306</v>
      </c>
      <c r="CF43" s="32">
        <v>14.455</v>
      </c>
      <c r="CG43" s="32">
        <v>14.525</v>
      </c>
      <c r="CH43" s="32">
        <v>14.55</v>
      </c>
      <c r="CI43" s="32"/>
      <c r="CJ43" s="32"/>
      <c r="CK43" s="32"/>
      <c r="CL43" s="41" t="s">
        <v>306</v>
      </c>
      <c r="CM43" s="31" t="s">
        <v>306</v>
      </c>
      <c r="CN43" s="55" t="s">
        <v>306</v>
      </c>
      <c r="CO43" s="41">
        <v>86.3</v>
      </c>
      <c r="CP43" s="41">
        <v>82.5</v>
      </c>
      <c r="CQ43" s="41">
        <v>75.5</v>
      </c>
      <c r="CR43" s="41">
        <v>8.1999999999999993</v>
      </c>
      <c r="CS43" s="41">
        <v>5.5</v>
      </c>
      <c r="CT43" s="41">
        <v>5.7</v>
      </c>
      <c r="CU43" s="56">
        <v>43.8</v>
      </c>
      <c r="CV43" s="56">
        <v>43.2</v>
      </c>
      <c r="CW43" s="56">
        <v>43.5</v>
      </c>
      <c r="CX43" s="32" t="str">
        <f t="shared" si="1"/>
        <v>9830538T</v>
      </c>
      <c r="CY43" s="41" t="s">
        <v>306</v>
      </c>
      <c r="CZ43" s="41" t="s">
        <v>306</v>
      </c>
      <c r="DA43" s="41" t="s">
        <v>306</v>
      </c>
      <c r="DD43" s="60"/>
    </row>
    <row r="44" spans="1:108">
      <c r="A44" s="30" t="s">
        <v>175</v>
      </c>
      <c r="B44" s="30" t="s">
        <v>89</v>
      </c>
      <c r="C44" s="30" t="s">
        <v>24</v>
      </c>
      <c r="D44" s="30" t="s">
        <v>113</v>
      </c>
      <c r="E44" s="30" t="s">
        <v>108</v>
      </c>
      <c r="F44" s="31">
        <v>341</v>
      </c>
      <c r="G44" s="31" t="s">
        <v>10</v>
      </c>
      <c r="H44" s="31" t="s">
        <v>10</v>
      </c>
      <c r="I44" s="31">
        <v>457</v>
      </c>
      <c r="J44" s="55" t="s">
        <v>10</v>
      </c>
      <c r="K44" s="55" t="s">
        <v>10</v>
      </c>
      <c r="L44" s="31">
        <v>441</v>
      </c>
      <c r="M44" s="55" t="s">
        <v>10</v>
      </c>
      <c r="N44" s="55" t="s">
        <v>10</v>
      </c>
      <c r="O44" s="31">
        <v>411</v>
      </c>
      <c r="P44" s="55" t="s">
        <v>10</v>
      </c>
      <c r="Q44" s="55" t="s">
        <v>10</v>
      </c>
      <c r="R44" s="55">
        <f>VLOOKUP($B44,Extract_R_20_10_25!$B$2:$H$75,2,FALSE)</f>
        <v>414</v>
      </c>
      <c r="S44" s="31">
        <f>VLOOKUP($B44,Extract_R_20_10_25!$B$2:$H$75,3,FALSE)</f>
        <v>0</v>
      </c>
      <c r="T44" s="55">
        <f>VLOOKUP($B44,Extract_R_20_10_25!$B$2:$H$75,4,FALSE)</f>
        <v>0</v>
      </c>
      <c r="U44" s="41">
        <v>103.3</v>
      </c>
      <c r="V44" s="41">
        <v>129.69999999999999</v>
      </c>
      <c r="W44" s="41">
        <v>137.9</v>
      </c>
      <c r="X44" s="41">
        <v>54.7</v>
      </c>
      <c r="Y44" s="41">
        <v>48.1</v>
      </c>
      <c r="Z44" s="41">
        <v>48</v>
      </c>
      <c r="AA44" s="41">
        <v>18.5</v>
      </c>
      <c r="AB44" s="41">
        <v>15.7</v>
      </c>
      <c r="AC44" s="41">
        <v>15.4</v>
      </c>
      <c r="AD44" s="41">
        <v>90.1</v>
      </c>
      <c r="AE44" s="56">
        <v>94.7</v>
      </c>
      <c r="AF44" s="41">
        <v>94.5</v>
      </c>
      <c r="AG44" s="41">
        <v>10.9</v>
      </c>
      <c r="AH44" s="41">
        <v>8</v>
      </c>
      <c r="AI44" s="41">
        <v>8.8000000000000007</v>
      </c>
      <c r="AJ44" s="57">
        <v>35.4</v>
      </c>
      <c r="AK44" s="57">
        <v>46.7</v>
      </c>
      <c r="AL44" s="57">
        <v>47.8</v>
      </c>
      <c r="AM44" s="57">
        <v>60.8</v>
      </c>
      <c r="AN44" s="57">
        <v>62.3</v>
      </c>
      <c r="AO44" s="57">
        <v>63.4</v>
      </c>
      <c r="AP44" s="58">
        <v>1.49</v>
      </c>
      <c r="AQ44" s="58">
        <v>1.42</v>
      </c>
      <c r="AR44" s="58">
        <v>1.43</v>
      </c>
      <c r="AS44" s="41">
        <v>20.399999999999999</v>
      </c>
      <c r="AT44" s="41">
        <v>21.5</v>
      </c>
      <c r="AU44" s="41">
        <v>21.4</v>
      </c>
      <c r="AV44" s="41">
        <v>60.2</v>
      </c>
      <c r="AW44" s="56">
        <v>52.3</v>
      </c>
      <c r="AX44" s="59">
        <v>50.5</v>
      </c>
      <c r="AY44" s="41">
        <v>31.1</v>
      </c>
      <c r="AZ44" s="56">
        <v>29.1</v>
      </c>
      <c r="BA44" s="59">
        <v>29.5</v>
      </c>
      <c r="BB44" s="41">
        <v>1</v>
      </c>
      <c r="BC44" s="56">
        <v>7.7</v>
      </c>
      <c r="BD44" s="32">
        <v>9.5</v>
      </c>
      <c r="BH44" s="41">
        <v>1</v>
      </c>
      <c r="BI44" s="41">
        <v>1</v>
      </c>
      <c r="BJ44" s="32">
        <v>1.2</v>
      </c>
      <c r="BK44" s="32">
        <v>82.4</v>
      </c>
      <c r="BL44" s="32">
        <v>83.4</v>
      </c>
      <c r="BM44" s="32">
        <v>83.3</v>
      </c>
      <c r="BN44" s="32">
        <v>86</v>
      </c>
      <c r="BO44" s="32">
        <v>82.7</v>
      </c>
      <c r="BP44" s="32">
        <v>83.3</v>
      </c>
      <c r="BQ44" s="41">
        <v>100</v>
      </c>
      <c r="BR44" s="32">
        <v>74.2</v>
      </c>
      <c r="BS44" s="32">
        <v>75.400000000000006</v>
      </c>
      <c r="BT44" s="32">
        <v>98</v>
      </c>
      <c r="BU44" s="32">
        <v>87.1</v>
      </c>
      <c r="BV44" s="32">
        <v>87.6</v>
      </c>
      <c r="BW44" s="41">
        <v>0</v>
      </c>
      <c r="BX44" s="41">
        <v>-5.8</v>
      </c>
      <c r="BY44" s="41">
        <v>-5.8999999999999897</v>
      </c>
      <c r="BZ44" s="41">
        <v>10.7</v>
      </c>
      <c r="CA44" s="41">
        <v>11.3</v>
      </c>
      <c r="CB44" s="41">
        <v>11.2</v>
      </c>
      <c r="CC44" s="57" t="s">
        <v>306</v>
      </c>
      <c r="CD44" s="57" t="s">
        <v>306</v>
      </c>
      <c r="CE44" s="57" t="s">
        <v>306</v>
      </c>
      <c r="CF44" s="32">
        <v>15.744999999999999</v>
      </c>
      <c r="CG44" s="32">
        <v>14.525</v>
      </c>
      <c r="CH44" s="32">
        <v>14.55</v>
      </c>
      <c r="CI44" s="32"/>
      <c r="CJ44" s="32"/>
      <c r="CK44" s="32"/>
      <c r="CL44" s="41" t="s">
        <v>306</v>
      </c>
      <c r="CM44" s="31" t="s">
        <v>306</v>
      </c>
      <c r="CN44" s="55" t="s">
        <v>306</v>
      </c>
      <c r="CO44" s="41">
        <v>90</v>
      </c>
      <c r="CP44" s="41">
        <v>82.5</v>
      </c>
      <c r="CQ44" s="41">
        <v>75.5</v>
      </c>
      <c r="CR44" s="41">
        <v>4.5</v>
      </c>
      <c r="CS44" s="41">
        <v>5.5</v>
      </c>
      <c r="CT44" s="41">
        <v>5.7</v>
      </c>
      <c r="CU44" s="56">
        <v>39.799999999999997</v>
      </c>
      <c r="CV44" s="56">
        <v>43.2</v>
      </c>
      <c r="CW44" s="56">
        <v>43.5</v>
      </c>
      <c r="CX44" s="32" t="str">
        <f t="shared" si="1"/>
        <v>9830616C</v>
      </c>
      <c r="CY44" s="41" t="s">
        <v>306</v>
      </c>
      <c r="CZ44" s="41" t="s">
        <v>306</v>
      </c>
      <c r="DA44" s="41" t="s">
        <v>306</v>
      </c>
      <c r="DD44" s="60"/>
    </row>
    <row r="45" spans="1:108">
      <c r="A45" s="30" t="s">
        <v>176</v>
      </c>
      <c r="B45" s="30" t="s">
        <v>90</v>
      </c>
      <c r="C45" s="30" t="s">
        <v>24</v>
      </c>
      <c r="D45" s="30" t="s">
        <v>112</v>
      </c>
      <c r="E45" s="30" t="s">
        <v>108</v>
      </c>
      <c r="F45" s="31">
        <v>590</v>
      </c>
      <c r="G45" s="31" t="s">
        <v>10</v>
      </c>
      <c r="H45" s="31" t="s">
        <v>10</v>
      </c>
      <c r="I45" s="31">
        <v>467</v>
      </c>
      <c r="J45" s="55" t="s">
        <v>10</v>
      </c>
      <c r="K45" s="55" t="s">
        <v>10</v>
      </c>
      <c r="L45" s="31">
        <v>475</v>
      </c>
      <c r="M45" s="55" t="s">
        <v>10</v>
      </c>
      <c r="N45" s="55" t="s">
        <v>10</v>
      </c>
      <c r="O45" s="31">
        <v>475</v>
      </c>
      <c r="P45" s="55" t="s">
        <v>10</v>
      </c>
      <c r="Q45" s="55" t="s">
        <v>10</v>
      </c>
      <c r="R45" s="55">
        <f>VLOOKUP($B45,Extract_R_20_10_25!$B$2:$H$75,2,FALSE)</f>
        <v>464</v>
      </c>
      <c r="S45" s="31">
        <f>VLOOKUP($B45,Extract_R_20_10_25!$B$2:$H$75,3,FALSE)</f>
        <v>0</v>
      </c>
      <c r="T45" s="55">
        <f>VLOOKUP($B45,Extract_R_20_10_25!$B$2:$H$75,4,FALSE)</f>
        <v>0</v>
      </c>
      <c r="U45" s="41">
        <v>118.7</v>
      </c>
      <c r="V45" s="41">
        <v>129.69999999999999</v>
      </c>
      <c r="W45" s="41">
        <v>137.9</v>
      </c>
      <c r="X45" s="41">
        <v>46.9</v>
      </c>
      <c r="Y45" s="41">
        <v>48.1</v>
      </c>
      <c r="Z45" s="41">
        <v>48</v>
      </c>
      <c r="AA45" s="41">
        <v>13.7</v>
      </c>
      <c r="AB45" s="41">
        <v>15.7</v>
      </c>
      <c r="AC45" s="41">
        <v>15.4</v>
      </c>
      <c r="AD45" s="41">
        <v>92.4</v>
      </c>
      <c r="AE45" s="56">
        <v>94.7</v>
      </c>
      <c r="AF45" s="41">
        <v>94.5</v>
      </c>
      <c r="AG45" s="41">
        <v>12.5</v>
      </c>
      <c r="AH45" s="41">
        <v>8</v>
      </c>
      <c r="AI45" s="41">
        <v>8.8000000000000007</v>
      </c>
      <c r="AJ45" s="57">
        <v>53.4</v>
      </c>
      <c r="AK45" s="57">
        <v>46.7</v>
      </c>
      <c r="AL45" s="57">
        <v>47.8</v>
      </c>
      <c r="AM45" s="57">
        <v>62.5</v>
      </c>
      <c r="AN45" s="57">
        <v>62.3</v>
      </c>
      <c r="AO45" s="57">
        <v>63.4</v>
      </c>
      <c r="AP45" s="58">
        <v>1.27</v>
      </c>
      <c r="AQ45" s="58">
        <v>1.42</v>
      </c>
      <c r="AR45" s="58">
        <v>1.43</v>
      </c>
      <c r="AS45" s="41">
        <v>23.8</v>
      </c>
      <c r="AT45" s="41">
        <v>21.5</v>
      </c>
      <c r="AU45" s="41">
        <v>21.4</v>
      </c>
      <c r="AV45" s="41">
        <v>53.5</v>
      </c>
      <c r="AW45" s="56">
        <v>52.3</v>
      </c>
      <c r="AX45" s="59">
        <v>50.5</v>
      </c>
      <c r="AY45" s="41">
        <v>25.2</v>
      </c>
      <c r="AZ45" s="56">
        <v>29.1</v>
      </c>
      <c r="BA45" s="59">
        <v>29.5</v>
      </c>
      <c r="BB45" s="41">
        <v>7.1</v>
      </c>
      <c r="BC45" s="56">
        <v>7.7</v>
      </c>
      <c r="BD45" s="32">
        <v>9.5</v>
      </c>
      <c r="BH45" s="41">
        <v>0.8</v>
      </c>
      <c r="BI45" s="41">
        <v>1</v>
      </c>
      <c r="BJ45" s="32">
        <v>1.2</v>
      </c>
      <c r="BK45" s="32">
        <v>78.7</v>
      </c>
      <c r="BL45" s="32">
        <v>83.4</v>
      </c>
      <c r="BM45" s="32">
        <v>83.3</v>
      </c>
      <c r="BN45" s="32">
        <v>84.1</v>
      </c>
      <c r="BO45" s="32">
        <v>82.7</v>
      </c>
      <c r="BP45" s="32">
        <v>83.3</v>
      </c>
      <c r="BQ45" s="41">
        <v>80</v>
      </c>
      <c r="BR45" s="32">
        <v>74.2</v>
      </c>
      <c r="BS45" s="32">
        <v>75.400000000000006</v>
      </c>
      <c r="BT45" s="32">
        <v>90.7</v>
      </c>
      <c r="BU45" s="32">
        <v>87.1</v>
      </c>
      <c r="BV45" s="32">
        <v>87.6</v>
      </c>
      <c r="BW45" s="41">
        <v>4.8</v>
      </c>
      <c r="BX45" s="41">
        <v>-5.8</v>
      </c>
      <c r="BY45" s="41">
        <v>-5.8999999999999897</v>
      </c>
      <c r="BZ45" s="41">
        <v>11.6</v>
      </c>
      <c r="CA45" s="41">
        <v>11.3</v>
      </c>
      <c r="CB45" s="41">
        <v>11.2</v>
      </c>
      <c r="CC45" s="57" t="s">
        <v>306</v>
      </c>
      <c r="CD45" s="57" t="s">
        <v>306</v>
      </c>
      <c r="CE45" s="57" t="s">
        <v>306</v>
      </c>
      <c r="CF45" s="32">
        <v>13.904999999999999</v>
      </c>
      <c r="CG45" s="32">
        <v>14.525</v>
      </c>
      <c r="CH45" s="32">
        <v>14.55</v>
      </c>
      <c r="CI45" s="32"/>
      <c r="CJ45" s="32"/>
      <c r="CK45" s="32"/>
      <c r="CL45" s="41" t="s">
        <v>306</v>
      </c>
      <c r="CM45" s="31" t="s">
        <v>306</v>
      </c>
      <c r="CN45" s="55" t="s">
        <v>306</v>
      </c>
      <c r="CO45" s="41">
        <v>78</v>
      </c>
      <c r="CP45" s="41">
        <v>82.5</v>
      </c>
      <c r="CQ45" s="41">
        <v>75.5</v>
      </c>
      <c r="CR45" s="41">
        <v>5.7</v>
      </c>
      <c r="CS45" s="41">
        <v>5.5</v>
      </c>
      <c r="CT45" s="41">
        <v>5.7</v>
      </c>
      <c r="CU45" s="56">
        <v>42.8</v>
      </c>
      <c r="CV45" s="56">
        <v>43.2</v>
      </c>
      <c r="CW45" s="56">
        <v>43.5</v>
      </c>
      <c r="CX45" s="32" t="str">
        <f t="shared" si="1"/>
        <v>9830624L</v>
      </c>
      <c r="CY45" s="41" t="s">
        <v>306</v>
      </c>
      <c r="CZ45" s="41" t="s">
        <v>306</v>
      </c>
      <c r="DA45" s="41" t="s">
        <v>306</v>
      </c>
      <c r="DD45" s="60"/>
    </row>
    <row r="46" spans="1:108">
      <c r="A46" s="30" t="s">
        <v>177</v>
      </c>
      <c r="B46" s="30" t="s">
        <v>91</v>
      </c>
      <c r="C46" s="30" t="s">
        <v>24</v>
      </c>
      <c r="D46" s="30" t="s">
        <v>40</v>
      </c>
      <c r="E46" s="30" t="s">
        <v>108</v>
      </c>
      <c r="F46" s="31">
        <v>667</v>
      </c>
      <c r="G46" s="31">
        <v>75</v>
      </c>
      <c r="H46" s="31" t="s">
        <v>10</v>
      </c>
      <c r="I46" s="31">
        <v>346</v>
      </c>
      <c r="J46" s="55">
        <v>77</v>
      </c>
      <c r="K46" s="55" t="s">
        <v>10</v>
      </c>
      <c r="L46" s="31">
        <v>323</v>
      </c>
      <c r="M46" s="55">
        <v>83</v>
      </c>
      <c r="N46" s="55" t="s">
        <v>10</v>
      </c>
      <c r="O46" s="31">
        <v>587</v>
      </c>
      <c r="P46" s="55">
        <v>82</v>
      </c>
      <c r="Q46" s="55" t="s">
        <v>10</v>
      </c>
      <c r="R46" s="55">
        <f>VLOOKUP($B46,Extract_R_20_10_25!$B$2:$H$75,2,FALSE)</f>
        <v>588</v>
      </c>
      <c r="S46" s="31">
        <f>VLOOKUP($B46,Extract_R_20_10_25!$B$2:$H$75,3,FALSE)</f>
        <v>81</v>
      </c>
      <c r="T46" s="55">
        <f>VLOOKUP($B46,Extract_R_20_10_25!$B$2:$H$75,4,FALSE)</f>
        <v>0</v>
      </c>
      <c r="U46" s="41">
        <v>98.7</v>
      </c>
      <c r="V46" s="41">
        <v>129.69999999999999</v>
      </c>
      <c r="W46" s="41">
        <v>137.9</v>
      </c>
      <c r="X46" s="41">
        <v>61.9</v>
      </c>
      <c r="Y46" s="41">
        <v>48.1</v>
      </c>
      <c r="Z46" s="41">
        <v>48</v>
      </c>
      <c r="AA46" s="41">
        <v>6.6</v>
      </c>
      <c r="AB46" s="41">
        <v>15.7</v>
      </c>
      <c r="AC46" s="41">
        <v>15.4</v>
      </c>
      <c r="AD46" s="41">
        <v>81.3</v>
      </c>
      <c r="AE46" s="56">
        <v>94.7</v>
      </c>
      <c r="AF46" s="41">
        <v>94.5</v>
      </c>
      <c r="AG46" s="41">
        <v>10.9</v>
      </c>
      <c r="AH46" s="41">
        <v>8</v>
      </c>
      <c r="AI46" s="41">
        <v>8.8000000000000007</v>
      </c>
      <c r="AJ46" s="57">
        <v>47.2</v>
      </c>
      <c r="AK46" s="57">
        <v>46.7</v>
      </c>
      <c r="AL46" s="57">
        <v>47.8</v>
      </c>
      <c r="AM46" s="57">
        <v>67.8</v>
      </c>
      <c r="AN46" s="57">
        <v>62.3</v>
      </c>
      <c r="AO46" s="57">
        <v>63.4</v>
      </c>
      <c r="AP46" s="58">
        <v>1.65</v>
      </c>
      <c r="AQ46" s="58">
        <v>1.42</v>
      </c>
      <c r="AR46" s="58">
        <v>1.43</v>
      </c>
      <c r="AS46" s="41">
        <v>18.600000000000001</v>
      </c>
      <c r="AT46" s="41">
        <v>21.5</v>
      </c>
      <c r="AU46" s="41">
        <v>21.4</v>
      </c>
      <c r="AV46" s="41">
        <v>34.5</v>
      </c>
      <c r="AW46" s="56">
        <v>52.3</v>
      </c>
      <c r="AX46" s="59">
        <v>50.5</v>
      </c>
      <c r="AY46" s="41">
        <v>48.8</v>
      </c>
      <c r="AZ46" s="56">
        <v>29.1</v>
      </c>
      <c r="BA46" s="59">
        <v>29.5</v>
      </c>
      <c r="BB46" s="41">
        <v>9.5</v>
      </c>
      <c r="BC46" s="56">
        <v>7.7</v>
      </c>
      <c r="BD46" s="32">
        <v>9.5</v>
      </c>
      <c r="BH46" s="41">
        <v>0</v>
      </c>
      <c r="BI46" s="41">
        <v>1</v>
      </c>
      <c r="BJ46" s="32">
        <v>1.2</v>
      </c>
      <c r="BK46" s="32">
        <v>56.2</v>
      </c>
      <c r="BL46" s="32">
        <v>83.4</v>
      </c>
      <c r="BM46" s="32">
        <v>83.3</v>
      </c>
      <c r="BN46" s="32">
        <v>65.900000000000006</v>
      </c>
      <c r="BO46" s="32">
        <v>82.7</v>
      </c>
      <c r="BP46" s="32">
        <v>83.3</v>
      </c>
      <c r="BQ46" s="41">
        <v>60</v>
      </c>
      <c r="BR46" s="32">
        <v>74.2</v>
      </c>
      <c r="BS46" s="32">
        <v>75.400000000000006</v>
      </c>
      <c r="BT46" s="32">
        <v>89.5</v>
      </c>
      <c r="BU46" s="32">
        <v>87.1</v>
      </c>
      <c r="BV46" s="32">
        <v>87.6</v>
      </c>
      <c r="BW46" s="41">
        <v>-4.5999999999999899</v>
      </c>
      <c r="BX46" s="41">
        <v>-5.8</v>
      </c>
      <c r="BY46" s="41">
        <v>-5.8999999999999897</v>
      </c>
      <c r="BZ46" s="41">
        <v>10.7</v>
      </c>
      <c r="CA46" s="41">
        <v>11.3</v>
      </c>
      <c r="CB46" s="41">
        <v>11.2</v>
      </c>
      <c r="CC46" s="57" t="s">
        <v>306</v>
      </c>
      <c r="CD46" s="57" t="s">
        <v>306</v>
      </c>
      <c r="CE46" s="57" t="s">
        <v>306</v>
      </c>
      <c r="CF46" s="32">
        <v>14.86</v>
      </c>
      <c r="CG46" s="32">
        <v>14.525</v>
      </c>
      <c r="CH46" s="32">
        <v>14.55</v>
      </c>
      <c r="CI46" s="32"/>
      <c r="CJ46" s="32"/>
      <c r="CK46" s="32"/>
      <c r="CL46" s="41" t="s">
        <v>306</v>
      </c>
      <c r="CM46" s="31" t="s">
        <v>306</v>
      </c>
      <c r="CN46" s="55" t="s">
        <v>306</v>
      </c>
      <c r="CO46" s="41">
        <v>90.1</v>
      </c>
      <c r="CP46" s="41">
        <v>82.5</v>
      </c>
      <c r="CQ46" s="41">
        <v>75.5</v>
      </c>
      <c r="CR46" s="41">
        <v>4.7</v>
      </c>
      <c r="CS46" s="41">
        <v>5.5</v>
      </c>
      <c r="CT46" s="41">
        <v>5.7</v>
      </c>
      <c r="CU46" s="56">
        <v>46.7</v>
      </c>
      <c r="CV46" s="56">
        <v>43.2</v>
      </c>
      <c r="CW46" s="56">
        <v>43.5</v>
      </c>
      <c r="CX46" s="32" t="str">
        <f t="shared" si="1"/>
        <v>9830625M</v>
      </c>
      <c r="CY46" s="41" t="s">
        <v>306</v>
      </c>
      <c r="CZ46" s="41" t="s">
        <v>306</v>
      </c>
      <c r="DA46" s="41" t="s">
        <v>306</v>
      </c>
      <c r="DD46" s="60"/>
    </row>
    <row r="47" spans="1:108">
      <c r="A47" s="30" t="s">
        <v>178</v>
      </c>
      <c r="B47" s="30" t="s">
        <v>92</v>
      </c>
      <c r="C47" s="30" t="s">
        <v>24</v>
      </c>
      <c r="D47" s="30" t="s">
        <v>127</v>
      </c>
      <c r="E47" s="30" t="s">
        <v>108</v>
      </c>
      <c r="F47" s="31">
        <v>413</v>
      </c>
      <c r="G47" s="31" t="s">
        <v>10</v>
      </c>
      <c r="H47" s="31" t="s">
        <v>10</v>
      </c>
      <c r="I47" s="31">
        <v>295</v>
      </c>
      <c r="J47" s="55" t="s">
        <v>10</v>
      </c>
      <c r="K47" s="55" t="s">
        <v>10</v>
      </c>
      <c r="L47" s="31">
        <v>297</v>
      </c>
      <c r="M47" s="55" t="s">
        <v>10</v>
      </c>
      <c r="N47" s="55" t="s">
        <v>10</v>
      </c>
      <c r="O47" s="31">
        <v>325</v>
      </c>
      <c r="P47" s="55" t="s">
        <v>10</v>
      </c>
      <c r="Q47" s="55" t="s">
        <v>10</v>
      </c>
      <c r="R47" s="55">
        <f>VLOOKUP($B47,Extract_R_20_10_25!$B$2:$H$75,2,FALSE)</f>
        <v>326</v>
      </c>
      <c r="S47" s="31">
        <f>VLOOKUP($B47,Extract_R_20_10_25!$B$2:$H$75,3,FALSE)</f>
        <v>0</v>
      </c>
      <c r="T47" s="55">
        <f>VLOOKUP($B47,Extract_R_20_10_25!$B$2:$H$75,4,FALSE)</f>
        <v>0</v>
      </c>
      <c r="U47" s="41">
        <v>110.8</v>
      </c>
      <c r="V47" s="41">
        <v>129.69999999999999</v>
      </c>
      <c r="W47" s="41">
        <v>137.9</v>
      </c>
      <c r="X47" s="41">
        <v>37.700000000000003</v>
      </c>
      <c r="Y47" s="41">
        <v>48.1</v>
      </c>
      <c r="Z47" s="41">
        <v>48</v>
      </c>
      <c r="AA47" s="41">
        <v>9</v>
      </c>
      <c r="AB47" s="41">
        <v>15.7</v>
      </c>
      <c r="AC47" s="41">
        <v>15.4</v>
      </c>
      <c r="AD47" s="41">
        <v>99.6</v>
      </c>
      <c r="AE47" s="56">
        <v>94.7</v>
      </c>
      <c r="AF47" s="41">
        <v>94.5</v>
      </c>
      <c r="AG47" s="41">
        <v>5.5</v>
      </c>
      <c r="AH47" s="41">
        <v>8</v>
      </c>
      <c r="AI47" s="41">
        <v>8.8000000000000007</v>
      </c>
      <c r="AJ47" s="57">
        <v>41.2</v>
      </c>
      <c r="AK47" s="57">
        <v>46.7</v>
      </c>
      <c r="AL47" s="57">
        <v>47.8</v>
      </c>
      <c r="AM47" s="57">
        <v>51.7</v>
      </c>
      <c r="AN47" s="57">
        <v>62.3</v>
      </c>
      <c r="AO47" s="57">
        <v>63.4</v>
      </c>
      <c r="AP47" s="58">
        <v>1.45</v>
      </c>
      <c r="AQ47" s="58">
        <v>1.42</v>
      </c>
      <c r="AR47" s="58">
        <v>1.43</v>
      </c>
      <c r="AS47" s="41">
        <v>21</v>
      </c>
      <c r="AT47" s="41">
        <v>21.5</v>
      </c>
      <c r="AU47" s="41">
        <v>21.4</v>
      </c>
      <c r="AV47" s="41">
        <v>56.3</v>
      </c>
      <c r="AW47" s="56">
        <v>52.3</v>
      </c>
      <c r="AX47" s="59">
        <v>50.5</v>
      </c>
      <c r="AY47" s="41">
        <v>25.4</v>
      </c>
      <c r="AZ47" s="56">
        <v>29.1</v>
      </c>
      <c r="BA47" s="59">
        <v>29.5</v>
      </c>
      <c r="BB47" s="41">
        <v>12.7</v>
      </c>
      <c r="BC47" s="56">
        <v>7.7</v>
      </c>
      <c r="BD47" s="32">
        <v>9.5</v>
      </c>
      <c r="BH47" s="41">
        <v>0</v>
      </c>
      <c r="BI47" s="41">
        <v>1</v>
      </c>
      <c r="BJ47" s="32">
        <v>1.2</v>
      </c>
      <c r="BK47" s="32">
        <v>85</v>
      </c>
      <c r="BL47" s="32">
        <v>83.4</v>
      </c>
      <c r="BM47" s="32">
        <v>83.3</v>
      </c>
      <c r="BN47" s="32">
        <v>93.8</v>
      </c>
      <c r="BO47" s="32">
        <v>82.7</v>
      </c>
      <c r="BP47" s="32">
        <v>83.3</v>
      </c>
      <c r="BQ47" s="41">
        <v>40</v>
      </c>
      <c r="BR47" s="32">
        <v>74.2</v>
      </c>
      <c r="BS47" s="32">
        <v>75.400000000000006</v>
      </c>
      <c r="BT47" s="32">
        <v>87.3</v>
      </c>
      <c r="BU47" s="32">
        <v>87.1</v>
      </c>
      <c r="BV47" s="32">
        <v>87.6</v>
      </c>
      <c r="BW47" s="41">
        <v>-21.1</v>
      </c>
      <c r="BX47" s="41">
        <v>-5.8</v>
      </c>
      <c r="BY47" s="41">
        <v>-5.8999999999999897</v>
      </c>
      <c r="BZ47" s="41">
        <v>10.8</v>
      </c>
      <c r="CA47" s="41">
        <v>11.3</v>
      </c>
      <c r="CB47" s="41">
        <v>11.2</v>
      </c>
      <c r="CC47" s="57" t="s">
        <v>306</v>
      </c>
      <c r="CD47" s="57" t="s">
        <v>306</v>
      </c>
      <c r="CE47" s="57" t="s">
        <v>306</v>
      </c>
      <c r="CF47" s="32">
        <v>14.33</v>
      </c>
      <c r="CG47" s="32">
        <v>14.525</v>
      </c>
      <c r="CH47" s="32">
        <v>14.55</v>
      </c>
      <c r="CI47" s="32"/>
      <c r="CJ47" s="32"/>
      <c r="CK47" s="32"/>
      <c r="CL47" s="41" t="s">
        <v>306</v>
      </c>
      <c r="CM47" s="31" t="s">
        <v>306</v>
      </c>
      <c r="CN47" s="55" t="s">
        <v>306</v>
      </c>
      <c r="CO47" s="41">
        <v>81.2</v>
      </c>
      <c r="CP47" s="41">
        <v>82.5</v>
      </c>
      <c r="CQ47" s="41">
        <v>75.5</v>
      </c>
      <c r="CR47" s="41">
        <v>5.6</v>
      </c>
      <c r="CS47" s="41">
        <v>5.5</v>
      </c>
      <c r="CT47" s="41">
        <v>5.7</v>
      </c>
      <c r="CU47" s="56">
        <v>42.5</v>
      </c>
      <c r="CV47" s="56">
        <v>43.2</v>
      </c>
      <c r="CW47" s="56">
        <v>43.5</v>
      </c>
      <c r="CX47" s="32" t="str">
        <f t="shared" si="1"/>
        <v>9830626N</v>
      </c>
      <c r="CY47" s="41" t="s">
        <v>306</v>
      </c>
      <c r="CZ47" s="41" t="s">
        <v>306</v>
      </c>
      <c r="DA47" s="41" t="s">
        <v>306</v>
      </c>
      <c r="DD47" s="60"/>
    </row>
    <row r="48" spans="1:108">
      <c r="A48" s="30" t="s">
        <v>179</v>
      </c>
      <c r="B48" s="30" t="s">
        <v>93</v>
      </c>
      <c r="C48" s="30" t="s">
        <v>24</v>
      </c>
      <c r="D48" s="30" t="s">
        <v>130</v>
      </c>
      <c r="E48" s="30" t="s">
        <v>108</v>
      </c>
      <c r="F48" s="31">
        <v>109</v>
      </c>
      <c r="G48" s="31" t="s">
        <v>10</v>
      </c>
      <c r="H48" s="31" t="s">
        <v>10</v>
      </c>
      <c r="I48" s="31">
        <v>131</v>
      </c>
      <c r="J48" s="55" t="s">
        <v>10</v>
      </c>
      <c r="K48" s="55" t="s">
        <v>10</v>
      </c>
      <c r="L48" s="31">
        <v>127</v>
      </c>
      <c r="M48" s="55" t="s">
        <v>10</v>
      </c>
      <c r="N48" s="55" t="s">
        <v>10</v>
      </c>
      <c r="O48" s="31">
        <v>118</v>
      </c>
      <c r="P48" s="55" t="s">
        <v>10</v>
      </c>
      <c r="Q48" s="55" t="s">
        <v>10</v>
      </c>
      <c r="R48" s="55">
        <f>VLOOKUP($B48,Extract_R_20_10_25!$B$2:$H$75,2,FALSE)</f>
        <v>115</v>
      </c>
      <c r="S48" s="31">
        <f>VLOOKUP($B48,Extract_R_20_10_25!$B$2:$H$75,3,FALSE)</f>
        <v>0</v>
      </c>
      <c r="T48" s="55">
        <f>VLOOKUP($B48,Extract_R_20_10_25!$B$2:$H$75,4,FALSE)</f>
        <v>0</v>
      </c>
      <c r="U48" s="41">
        <v>181.7</v>
      </c>
      <c r="V48" s="41">
        <v>129.69999999999999</v>
      </c>
      <c r="W48" s="41">
        <v>137.9</v>
      </c>
      <c r="X48" s="41">
        <v>69.5</v>
      </c>
      <c r="Y48" s="41">
        <v>48.1</v>
      </c>
      <c r="Z48" s="41">
        <v>48</v>
      </c>
      <c r="AA48" s="41">
        <v>10.199999999999999</v>
      </c>
      <c r="AB48" s="41">
        <v>15.7</v>
      </c>
      <c r="AC48" s="41">
        <v>15.4</v>
      </c>
      <c r="AD48" s="41">
        <v>79.599999999999994</v>
      </c>
      <c r="AE48" s="56">
        <v>94.7</v>
      </c>
      <c r="AF48" s="41">
        <v>94.5</v>
      </c>
      <c r="AG48" s="41">
        <v>11.5</v>
      </c>
      <c r="AH48" s="41">
        <v>8</v>
      </c>
      <c r="AI48" s="41">
        <v>8.8000000000000007</v>
      </c>
      <c r="AJ48" s="57">
        <v>48</v>
      </c>
      <c r="AK48" s="57">
        <v>46.7</v>
      </c>
      <c r="AL48" s="57">
        <v>47.8</v>
      </c>
      <c r="AM48" s="57">
        <v>92.3</v>
      </c>
      <c r="AN48" s="57">
        <v>62.3</v>
      </c>
      <c r="AO48" s="57">
        <v>63.4</v>
      </c>
      <c r="AP48" s="58">
        <v>1.64</v>
      </c>
      <c r="AQ48" s="58">
        <v>1.42</v>
      </c>
      <c r="AR48" s="58">
        <v>1.43</v>
      </c>
      <c r="AS48" s="41">
        <v>19.7</v>
      </c>
      <c r="AT48" s="41">
        <v>21.5</v>
      </c>
      <c r="AU48" s="41">
        <v>21.4</v>
      </c>
      <c r="AV48" s="41">
        <v>29.4</v>
      </c>
      <c r="AW48" s="56">
        <v>52.3</v>
      </c>
      <c r="AX48" s="59">
        <v>50.5</v>
      </c>
      <c r="AY48" s="41">
        <v>44.1</v>
      </c>
      <c r="AZ48" s="56">
        <v>29.1</v>
      </c>
      <c r="BA48" s="59">
        <v>29.5</v>
      </c>
      <c r="BB48" s="41">
        <v>11.8</v>
      </c>
      <c r="BC48" s="56">
        <v>7.7</v>
      </c>
      <c r="BD48" s="32">
        <v>9.5</v>
      </c>
      <c r="BH48" s="41">
        <v>0</v>
      </c>
      <c r="BI48" s="41">
        <v>1</v>
      </c>
      <c r="BJ48" s="32">
        <v>1.2</v>
      </c>
      <c r="BK48" s="32">
        <v>66.7</v>
      </c>
      <c r="BL48" s="32">
        <v>83.4</v>
      </c>
      <c r="BM48" s="32">
        <v>83.3</v>
      </c>
      <c r="BN48" s="32">
        <v>86.7</v>
      </c>
      <c r="BO48" s="32">
        <v>82.7</v>
      </c>
      <c r="BP48" s="32">
        <v>83.3</v>
      </c>
      <c r="BQ48" s="41">
        <v>66.7</v>
      </c>
      <c r="BR48" s="32">
        <v>74.2</v>
      </c>
      <c r="BS48" s="32">
        <v>75.400000000000006</v>
      </c>
      <c r="BT48" s="32">
        <v>85.3</v>
      </c>
      <c r="BU48" s="32">
        <v>87.1</v>
      </c>
      <c r="BV48" s="32">
        <v>87.6</v>
      </c>
      <c r="BW48" s="41">
        <v>-1.1000000000000101</v>
      </c>
      <c r="BX48" s="41">
        <v>-5.8</v>
      </c>
      <c r="BY48" s="41">
        <v>-5.8999999999999897</v>
      </c>
      <c r="BZ48" s="41">
        <v>10.1</v>
      </c>
      <c r="CA48" s="41">
        <v>11.3</v>
      </c>
      <c r="CB48" s="41">
        <v>11.2</v>
      </c>
      <c r="CC48" s="57" t="s">
        <v>306</v>
      </c>
      <c r="CD48" s="57" t="s">
        <v>306</v>
      </c>
      <c r="CE48" s="57" t="s">
        <v>306</v>
      </c>
      <c r="CF48" s="32">
        <v>13.675000000000001</v>
      </c>
      <c r="CG48" s="32">
        <v>14.525</v>
      </c>
      <c r="CH48" s="32">
        <v>14.55</v>
      </c>
      <c r="CI48" s="32"/>
      <c r="CJ48" s="32"/>
      <c r="CK48" s="32"/>
      <c r="CL48" s="41" t="s">
        <v>306</v>
      </c>
      <c r="CM48" s="31" t="s">
        <v>306</v>
      </c>
      <c r="CN48" s="55" t="s">
        <v>306</v>
      </c>
      <c r="CO48" s="41">
        <v>56.9</v>
      </c>
      <c r="CP48" s="41">
        <v>82.5</v>
      </c>
      <c r="CQ48" s="41">
        <v>75.5</v>
      </c>
      <c r="CR48" s="41">
        <v>4.4000000000000004</v>
      </c>
      <c r="CS48" s="41">
        <v>5.5</v>
      </c>
      <c r="CT48" s="41">
        <v>5.7</v>
      </c>
      <c r="CU48" s="56">
        <v>40.5</v>
      </c>
      <c r="CV48" s="56">
        <v>43.2</v>
      </c>
      <c r="CW48" s="56">
        <v>43.5</v>
      </c>
      <c r="CX48" s="32" t="str">
        <f t="shared" si="1"/>
        <v>9830632V</v>
      </c>
      <c r="CY48" s="41" t="s">
        <v>306</v>
      </c>
      <c r="CZ48" s="41" t="s">
        <v>306</v>
      </c>
      <c r="DA48" s="41" t="s">
        <v>306</v>
      </c>
      <c r="DD48" s="60"/>
    </row>
    <row r="49" spans="1:108">
      <c r="A49" s="30" t="s">
        <v>180</v>
      </c>
      <c r="B49" s="30" t="s">
        <v>94</v>
      </c>
      <c r="C49" s="30" t="s">
        <v>24</v>
      </c>
      <c r="D49" s="30" t="s">
        <v>115</v>
      </c>
      <c r="E49" s="30" t="s">
        <v>108</v>
      </c>
      <c r="F49" s="31">
        <v>108</v>
      </c>
      <c r="G49" s="31" t="s">
        <v>10</v>
      </c>
      <c r="H49" s="31">
        <v>17</v>
      </c>
      <c r="I49" s="31">
        <v>84</v>
      </c>
      <c r="J49" s="55" t="s">
        <v>10</v>
      </c>
      <c r="K49" s="55" t="s">
        <v>10</v>
      </c>
      <c r="L49" s="31">
        <v>82</v>
      </c>
      <c r="M49" s="55" t="s">
        <v>10</v>
      </c>
      <c r="N49" s="55" t="s">
        <v>10</v>
      </c>
      <c r="O49" s="31">
        <v>83</v>
      </c>
      <c r="P49" s="55" t="s">
        <v>10</v>
      </c>
      <c r="Q49" s="55" t="s">
        <v>10</v>
      </c>
      <c r="R49" s="55">
        <f>VLOOKUP($B49,Extract_R_20_10_25!$B$2:$H$75,2,FALSE)</f>
        <v>84</v>
      </c>
      <c r="S49" s="31">
        <f>VLOOKUP($B49,Extract_R_20_10_25!$B$2:$H$75,3,FALSE)</f>
        <v>0</v>
      </c>
      <c r="T49" s="55">
        <f>VLOOKUP($B49,Extract_R_20_10_25!$B$2:$H$75,4,FALSE)</f>
        <v>0</v>
      </c>
      <c r="U49" s="41">
        <v>177.8</v>
      </c>
      <c r="V49" s="41">
        <v>129.69999999999999</v>
      </c>
      <c r="W49" s="41">
        <v>137.9</v>
      </c>
      <c r="X49" s="41">
        <v>59</v>
      </c>
      <c r="Y49" s="41">
        <v>48.1</v>
      </c>
      <c r="Z49" s="41">
        <v>48</v>
      </c>
      <c r="AA49" s="41">
        <v>14.5</v>
      </c>
      <c r="AB49" s="41">
        <v>15.7</v>
      </c>
      <c r="AC49" s="41">
        <v>15.4</v>
      </c>
      <c r="AD49" s="41">
        <v>84.6</v>
      </c>
      <c r="AE49" s="56">
        <v>94.7</v>
      </c>
      <c r="AF49" s="41">
        <v>94.5</v>
      </c>
      <c r="AG49" s="41">
        <v>21.1</v>
      </c>
      <c r="AH49" s="41">
        <v>8</v>
      </c>
      <c r="AI49" s="41">
        <v>8.8000000000000007</v>
      </c>
      <c r="AJ49" s="57">
        <v>47.4</v>
      </c>
      <c r="AK49" s="57">
        <v>46.7</v>
      </c>
      <c r="AL49" s="57">
        <v>47.8</v>
      </c>
      <c r="AM49" s="57">
        <v>73.7</v>
      </c>
      <c r="AN49" s="57">
        <v>62.3</v>
      </c>
      <c r="AO49" s="57">
        <v>63.4</v>
      </c>
      <c r="AP49" s="58">
        <v>1.48</v>
      </c>
      <c r="AQ49" s="58">
        <v>1.42</v>
      </c>
      <c r="AR49" s="58">
        <v>1.43</v>
      </c>
      <c r="AS49" s="41">
        <v>20.8</v>
      </c>
      <c r="AT49" s="41">
        <v>21.5</v>
      </c>
      <c r="AU49" s="41">
        <v>21.4</v>
      </c>
      <c r="AV49" s="41">
        <v>45.5</v>
      </c>
      <c r="AW49" s="56">
        <v>52.3</v>
      </c>
      <c r="AX49" s="59">
        <v>50.5</v>
      </c>
      <c r="AY49" s="41">
        <v>18.2</v>
      </c>
      <c r="AZ49" s="56">
        <v>29.1</v>
      </c>
      <c r="BA49" s="59">
        <v>29.5</v>
      </c>
      <c r="BB49" s="41">
        <v>27.3</v>
      </c>
      <c r="BC49" s="56">
        <v>7.7</v>
      </c>
      <c r="BD49" s="32">
        <v>9.5</v>
      </c>
      <c r="BH49" s="41">
        <v>0</v>
      </c>
      <c r="BI49" s="41">
        <v>1</v>
      </c>
      <c r="BJ49" s="32">
        <v>1.2</v>
      </c>
      <c r="BK49" s="32">
        <v>75</v>
      </c>
      <c r="BL49" s="32">
        <v>83.4</v>
      </c>
      <c r="BM49" s="32">
        <v>83.3</v>
      </c>
      <c r="BN49" s="32">
        <v>90</v>
      </c>
      <c r="BO49" s="32">
        <v>82.7</v>
      </c>
      <c r="BP49" s="32">
        <v>83.3</v>
      </c>
      <c r="BQ49" s="41">
        <v>75</v>
      </c>
      <c r="BR49" s="32">
        <v>74.2</v>
      </c>
      <c r="BS49" s="32">
        <v>75.400000000000006</v>
      </c>
      <c r="BT49" s="32">
        <v>74.099999999999994</v>
      </c>
      <c r="BU49" s="32">
        <v>87.1</v>
      </c>
      <c r="BV49" s="32">
        <v>87.6</v>
      </c>
      <c r="BW49" s="41">
        <v>-28.4</v>
      </c>
      <c r="BX49" s="41">
        <v>-5.8</v>
      </c>
      <c r="BY49" s="41">
        <v>-5.8999999999999897</v>
      </c>
      <c r="BZ49" s="41">
        <v>8.8000000000000007</v>
      </c>
      <c r="CA49" s="41">
        <v>11.3</v>
      </c>
      <c r="CB49" s="41">
        <v>11.2</v>
      </c>
      <c r="CC49" s="57" t="s">
        <v>306</v>
      </c>
      <c r="CD49" s="57" t="s">
        <v>306</v>
      </c>
      <c r="CE49" s="57" t="s">
        <v>306</v>
      </c>
      <c r="CF49" s="32">
        <v>13.945</v>
      </c>
      <c r="CG49" s="32">
        <v>14.525</v>
      </c>
      <c r="CH49" s="32">
        <v>14.55</v>
      </c>
      <c r="CI49" s="32"/>
      <c r="CJ49" s="32"/>
      <c r="CK49" s="32"/>
      <c r="CL49" s="41" t="s">
        <v>306</v>
      </c>
      <c r="CM49" s="31" t="s">
        <v>306</v>
      </c>
      <c r="CN49" s="55" t="s">
        <v>306</v>
      </c>
      <c r="CO49" s="41">
        <v>48</v>
      </c>
      <c r="CP49" s="41">
        <v>82.5</v>
      </c>
      <c r="CQ49" s="41">
        <v>75.5</v>
      </c>
      <c r="CR49" s="41">
        <v>4.4000000000000004</v>
      </c>
      <c r="CS49" s="41">
        <v>5.5</v>
      </c>
      <c r="CT49" s="41">
        <v>5.7</v>
      </c>
      <c r="CU49" s="56">
        <v>44.3</v>
      </c>
      <c r="CV49" s="56">
        <v>43.2</v>
      </c>
      <c r="CW49" s="56">
        <v>43.5</v>
      </c>
      <c r="CX49" s="32" t="str">
        <f t="shared" si="1"/>
        <v>9830639C</v>
      </c>
      <c r="CY49" s="41" t="s">
        <v>306</v>
      </c>
      <c r="CZ49" s="41" t="s">
        <v>306</v>
      </c>
      <c r="DA49" s="41" t="s">
        <v>306</v>
      </c>
      <c r="DD49" s="60"/>
    </row>
    <row r="50" spans="1:108">
      <c r="A50" s="30" t="s">
        <v>181</v>
      </c>
      <c r="B50" s="30" t="s">
        <v>95</v>
      </c>
      <c r="C50" s="30" t="s">
        <v>24</v>
      </c>
      <c r="D50" s="30" t="s">
        <v>127</v>
      </c>
      <c r="E50" s="30" t="s">
        <v>108</v>
      </c>
      <c r="F50" s="31">
        <v>628</v>
      </c>
      <c r="G50" s="31">
        <v>68</v>
      </c>
      <c r="H50" s="31">
        <v>8</v>
      </c>
      <c r="I50" s="31">
        <v>587</v>
      </c>
      <c r="J50" s="55">
        <v>64</v>
      </c>
      <c r="K50" s="55" t="s">
        <v>10</v>
      </c>
      <c r="L50" s="31">
        <v>613</v>
      </c>
      <c r="M50" s="55">
        <v>68</v>
      </c>
      <c r="N50" s="55" t="s">
        <v>10</v>
      </c>
      <c r="O50" s="31">
        <v>564</v>
      </c>
      <c r="P50" s="55">
        <v>63</v>
      </c>
      <c r="Q50" s="55" t="s">
        <v>10</v>
      </c>
      <c r="R50" s="55">
        <f>VLOOKUP($B50,Extract_R_20_10_25!$B$2:$H$75,2,FALSE)</f>
        <v>559</v>
      </c>
      <c r="S50" s="31">
        <f>VLOOKUP($B50,Extract_R_20_10_25!$B$2:$H$75,3,FALSE)</f>
        <v>65</v>
      </c>
      <c r="T50" s="55">
        <f>VLOOKUP($B50,Extract_R_20_10_25!$B$2:$H$75,4,FALSE)</f>
        <v>0</v>
      </c>
      <c r="U50" s="41">
        <v>100.2</v>
      </c>
      <c r="V50" s="41">
        <v>129.69999999999999</v>
      </c>
      <c r="W50" s="41">
        <v>137.9</v>
      </c>
      <c r="X50" s="41">
        <v>44.7</v>
      </c>
      <c r="Y50" s="41">
        <v>48.1</v>
      </c>
      <c r="Z50" s="41">
        <v>48</v>
      </c>
      <c r="AA50" s="41">
        <v>14.2</v>
      </c>
      <c r="AB50" s="41">
        <v>15.7</v>
      </c>
      <c r="AC50" s="41">
        <v>15.4</v>
      </c>
      <c r="AD50" s="41">
        <v>97.5</v>
      </c>
      <c r="AE50" s="56">
        <v>94.7</v>
      </c>
      <c r="AF50" s="41">
        <v>94.5</v>
      </c>
      <c r="AG50" s="41">
        <v>6</v>
      </c>
      <c r="AH50" s="41">
        <v>8</v>
      </c>
      <c r="AI50" s="41">
        <v>8.8000000000000007</v>
      </c>
      <c r="AJ50" s="57">
        <v>39.299999999999997</v>
      </c>
      <c r="AK50" s="57">
        <v>46.7</v>
      </c>
      <c r="AL50" s="57">
        <v>47.8</v>
      </c>
      <c r="AM50" s="57">
        <v>59.6</v>
      </c>
      <c r="AN50" s="57">
        <v>62.3</v>
      </c>
      <c r="AO50" s="57">
        <v>63.4</v>
      </c>
      <c r="AP50" s="58">
        <v>1.34</v>
      </c>
      <c r="AQ50" s="58">
        <v>1.42</v>
      </c>
      <c r="AR50" s="58">
        <v>1.43</v>
      </c>
      <c r="AS50" s="41">
        <v>22.6</v>
      </c>
      <c r="AT50" s="41">
        <v>21.5</v>
      </c>
      <c r="AU50" s="41">
        <v>21.4</v>
      </c>
      <c r="AV50" s="41">
        <v>54.4</v>
      </c>
      <c r="AW50" s="56">
        <v>52.3</v>
      </c>
      <c r="AX50" s="59">
        <v>50.5</v>
      </c>
      <c r="AY50" s="41">
        <v>32.5</v>
      </c>
      <c r="AZ50" s="56">
        <v>29.1</v>
      </c>
      <c r="BA50" s="59">
        <v>29.5</v>
      </c>
      <c r="BB50" s="41">
        <v>5.6</v>
      </c>
      <c r="BC50" s="56">
        <v>7.7</v>
      </c>
      <c r="BD50" s="32">
        <v>9.5</v>
      </c>
      <c r="BH50" s="41">
        <v>0.6</v>
      </c>
      <c r="BI50" s="41">
        <v>1</v>
      </c>
      <c r="BJ50" s="32">
        <v>1.2</v>
      </c>
      <c r="BK50" s="32">
        <v>88</v>
      </c>
      <c r="BL50" s="32">
        <v>83.4</v>
      </c>
      <c r="BM50" s="32">
        <v>83.3</v>
      </c>
      <c r="BN50" s="32">
        <v>82</v>
      </c>
      <c r="BO50" s="32">
        <v>82.7</v>
      </c>
      <c r="BP50" s="32">
        <v>83.3</v>
      </c>
      <c r="BQ50" s="41">
        <v>80</v>
      </c>
      <c r="BR50" s="32">
        <v>74.2</v>
      </c>
      <c r="BS50" s="32">
        <v>75.400000000000006</v>
      </c>
      <c r="BT50" s="32">
        <v>89.2</v>
      </c>
      <c r="BU50" s="32">
        <v>87.1</v>
      </c>
      <c r="BV50" s="32">
        <v>87.6</v>
      </c>
      <c r="BW50" s="41">
        <v>-6.5</v>
      </c>
      <c r="BX50" s="41">
        <v>-5.8</v>
      </c>
      <c r="BY50" s="41">
        <v>-5.8999999999999897</v>
      </c>
      <c r="BZ50" s="41">
        <v>11.2</v>
      </c>
      <c r="CA50" s="41">
        <v>11.3</v>
      </c>
      <c r="CB50" s="41">
        <v>11.2</v>
      </c>
      <c r="CC50" s="57" t="s">
        <v>306</v>
      </c>
      <c r="CD50" s="57" t="s">
        <v>306</v>
      </c>
      <c r="CE50" s="57" t="s">
        <v>306</v>
      </c>
      <c r="CF50" s="32">
        <v>15.305</v>
      </c>
      <c r="CG50" s="32">
        <v>14.525</v>
      </c>
      <c r="CH50" s="32">
        <v>14.55</v>
      </c>
      <c r="CI50" s="32"/>
      <c r="CJ50" s="32"/>
      <c r="CK50" s="32"/>
      <c r="CL50" s="41" t="s">
        <v>306</v>
      </c>
      <c r="CM50" s="31" t="s">
        <v>306</v>
      </c>
      <c r="CN50" s="55" t="s">
        <v>306</v>
      </c>
      <c r="CO50" s="41">
        <v>84.1</v>
      </c>
      <c r="CP50" s="41">
        <v>82.5</v>
      </c>
      <c r="CQ50" s="41">
        <v>75.5</v>
      </c>
      <c r="CR50" s="41">
        <v>6.7</v>
      </c>
      <c r="CS50" s="41">
        <v>5.5</v>
      </c>
      <c r="CT50" s="41">
        <v>5.7</v>
      </c>
      <c r="CU50" s="56">
        <v>43.1</v>
      </c>
      <c r="CV50" s="56">
        <v>43.2</v>
      </c>
      <c r="CW50" s="56">
        <v>43.5</v>
      </c>
      <c r="CX50" s="32" t="str">
        <f t="shared" si="1"/>
        <v>9830640D</v>
      </c>
      <c r="CY50" s="41" t="s">
        <v>306</v>
      </c>
      <c r="CZ50" s="41" t="s">
        <v>306</v>
      </c>
      <c r="DA50" s="41" t="s">
        <v>306</v>
      </c>
      <c r="DD50" s="60"/>
    </row>
    <row r="51" spans="1:108">
      <c r="A51" s="30" t="s">
        <v>182</v>
      </c>
      <c r="B51" s="30" t="s">
        <v>96</v>
      </c>
      <c r="C51" s="30" t="s">
        <v>24</v>
      </c>
      <c r="D51" s="30" t="s">
        <v>40</v>
      </c>
      <c r="E51" s="30" t="s">
        <v>108</v>
      </c>
      <c r="F51" s="31">
        <v>564</v>
      </c>
      <c r="G51" s="31" t="s">
        <v>10</v>
      </c>
      <c r="H51" s="31" t="s">
        <v>10</v>
      </c>
      <c r="I51" s="31">
        <v>503</v>
      </c>
      <c r="J51" s="55" t="s">
        <v>10</v>
      </c>
      <c r="K51" s="55" t="s">
        <v>10</v>
      </c>
      <c r="L51" s="31">
        <v>490</v>
      </c>
      <c r="M51" s="55" t="s">
        <v>10</v>
      </c>
      <c r="N51" s="55" t="s">
        <v>10</v>
      </c>
      <c r="O51" s="31">
        <v>432</v>
      </c>
      <c r="P51" s="55" t="s">
        <v>10</v>
      </c>
      <c r="Q51" s="55" t="s">
        <v>10</v>
      </c>
      <c r="R51" s="55">
        <f>VLOOKUP($B51,Extract_R_20_10_25!$B$2:$H$75,2,FALSE)</f>
        <v>437</v>
      </c>
      <c r="S51" s="31">
        <f>VLOOKUP($B51,Extract_R_20_10_25!$B$2:$H$75,3,FALSE)</f>
        <v>0</v>
      </c>
      <c r="T51" s="55">
        <f>VLOOKUP($B51,Extract_R_20_10_25!$B$2:$H$75,4,FALSE)</f>
        <v>0</v>
      </c>
      <c r="U51" s="41">
        <v>97.2</v>
      </c>
      <c r="V51" s="41">
        <v>129.69999999999999</v>
      </c>
      <c r="W51" s="41">
        <v>137.9</v>
      </c>
      <c r="X51" s="41">
        <v>19</v>
      </c>
      <c r="Y51" s="41">
        <v>48.1</v>
      </c>
      <c r="Z51" s="41">
        <v>48</v>
      </c>
      <c r="AA51" s="41">
        <v>35</v>
      </c>
      <c r="AB51" s="41">
        <v>15.7</v>
      </c>
      <c r="AC51" s="41">
        <v>15.4</v>
      </c>
      <c r="AD51" s="41">
        <v>114</v>
      </c>
      <c r="AE51" s="56">
        <v>94.7</v>
      </c>
      <c r="AF51" s="41">
        <v>94.5</v>
      </c>
      <c r="AG51" s="41">
        <v>3.7</v>
      </c>
      <c r="AH51" s="41">
        <v>8</v>
      </c>
      <c r="AI51" s="41">
        <v>8.8000000000000007</v>
      </c>
      <c r="AJ51" s="57">
        <v>22</v>
      </c>
      <c r="AK51" s="57">
        <v>46.7</v>
      </c>
      <c r="AL51" s="57">
        <v>47.8</v>
      </c>
      <c r="AM51" s="57">
        <v>28.2</v>
      </c>
      <c r="AN51" s="57">
        <v>62.3</v>
      </c>
      <c r="AO51" s="57">
        <v>63.4</v>
      </c>
      <c r="AP51" s="58">
        <v>1.51</v>
      </c>
      <c r="AQ51" s="58">
        <v>1.42</v>
      </c>
      <c r="AR51" s="58">
        <v>1.43</v>
      </c>
      <c r="AS51" s="41">
        <v>21</v>
      </c>
      <c r="AT51" s="41">
        <v>21.5</v>
      </c>
      <c r="AU51" s="41">
        <v>21.4</v>
      </c>
      <c r="AV51" s="41">
        <v>59.1</v>
      </c>
      <c r="AW51" s="56">
        <v>52.3</v>
      </c>
      <c r="AX51" s="59">
        <v>50.5</v>
      </c>
      <c r="AY51" s="41">
        <v>25.8</v>
      </c>
      <c r="AZ51" s="56">
        <v>29.1</v>
      </c>
      <c r="BA51" s="59">
        <v>29.5</v>
      </c>
      <c r="BB51" s="41">
        <v>2.2000000000000002</v>
      </c>
      <c r="BC51" s="56">
        <v>7.7</v>
      </c>
      <c r="BD51" s="32">
        <v>9.5</v>
      </c>
      <c r="BH51" s="41">
        <v>2.2000000000000002</v>
      </c>
      <c r="BI51" s="41">
        <v>1</v>
      </c>
      <c r="BJ51" s="32">
        <v>1.2</v>
      </c>
      <c r="BK51" s="32">
        <v>86.5</v>
      </c>
      <c r="BL51" s="32">
        <v>83.4</v>
      </c>
      <c r="BM51" s="32">
        <v>83.3</v>
      </c>
      <c r="BN51" s="32">
        <v>83.9</v>
      </c>
      <c r="BO51" s="32">
        <v>82.7</v>
      </c>
      <c r="BP51" s="32">
        <v>83.3</v>
      </c>
      <c r="BQ51" s="41">
        <v>80</v>
      </c>
      <c r="BR51" s="32">
        <v>74.2</v>
      </c>
      <c r="BS51" s="32">
        <v>75.400000000000006</v>
      </c>
      <c r="BT51" s="32">
        <v>87.3</v>
      </c>
      <c r="BU51" s="32">
        <v>87.1</v>
      </c>
      <c r="BV51" s="32">
        <v>87.6</v>
      </c>
      <c r="BW51" s="41">
        <v>-19.899999999999999</v>
      </c>
      <c r="BX51" s="41">
        <v>-5.8</v>
      </c>
      <c r="BY51" s="41">
        <v>-5.8999999999999897</v>
      </c>
      <c r="BZ51" s="41">
        <v>11.6</v>
      </c>
      <c r="CA51" s="41">
        <v>11.3</v>
      </c>
      <c r="CB51" s="41">
        <v>11.2</v>
      </c>
      <c r="CC51" s="57" t="s">
        <v>306</v>
      </c>
      <c r="CD51" s="57" t="s">
        <v>306</v>
      </c>
      <c r="CE51" s="57" t="s">
        <v>306</v>
      </c>
      <c r="CF51" s="32">
        <v>15.045</v>
      </c>
      <c r="CG51" s="32">
        <v>14.525</v>
      </c>
      <c r="CH51" s="32">
        <v>14.55</v>
      </c>
      <c r="CI51" s="32"/>
      <c r="CJ51" s="32"/>
      <c r="CK51" s="32"/>
      <c r="CL51" s="41" t="s">
        <v>306</v>
      </c>
      <c r="CM51" s="31" t="s">
        <v>306</v>
      </c>
      <c r="CN51" s="55" t="s">
        <v>306</v>
      </c>
      <c r="CO51" s="41">
        <v>89.5</v>
      </c>
      <c r="CP51" s="41">
        <v>82.5</v>
      </c>
      <c r="CQ51" s="41">
        <v>75.5</v>
      </c>
      <c r="CR51" s="41">
        <v>7.1</v>
      </c>
      <c r="CS51" s="41">
        <v>5.5</v>
      </c>
      <c r="CT51" s="41">
        <v>5.7</v>
      </c>
      <c r="CU51" s="56">
        <v>47.1</v>
      </c>
      <c r="CV51" s="56">
        <v>43.2</v>
      </c>
      <c r="CW51" s="56">
        <v>43.5</v>
      </c>
      <c r="CX51" s="32" t="str">
        <f t="shared" si="1"/>
        <v>9830649N</v>
      </c>
      <c r="CY51" s="41" t="s">
        <v>306</v>
      </c>
      <c r="CZ51" s="41" t="s">
        <v>306</v>
      </c>
      <c r="DA51" s="41" t="s">
        <v>306</v>
      </c>
      <c r="DD51" s="60"/>
    </row>
    <row r="52" spans="1:108">
      <c r="A52" s="30" t="s">
        <v>183</v>
      </c>
      <c r="B52" s="30" t="s">
        <v>97</v>
      </c>
      <c r="C52" s="30" t="s">
        <v>24</v>
      </c>
      <c r="D52" s="30" t="s">
        <v>113</v>
      </c>
      <c r="E52" s="30" t="s">
        <v>108</v>
      </c>
      <c r="F52" s="31">
        <v>364</v>
      </c>
      <c r="G52" s="31" t="s">
        <v>10</v>
      </c>
      <c r="H52" s="31" t="s">
        <v>10</v>
      </c>
      <c r="I52" s="31">
        <v>552</v>
      </c>
      <c r="J52" s="55" t="s">
        <v>10</v>
      </c>
      <c r="K52" s="55" t="s">
        <v>10</v>
      </c>
      <c r="L52" s="31">
        <v>581</v>
      </c>
      <c r="M52" s="55" t="s">
        <v>10</v>
      </c>
      <c r="N52" s="55" t="s">
        <v>10</v>
      </c>
      <c r="O52" s="31">
        <v>581</v>
      </c>
      <c r="P52" s="55" t="s">
        <v>10</v>
      </c>
      <c r="Q52" s="55" t="s">
        <v>10</v>
      </c>
      <c r="R52" s="55">
        <f>VLOOKUP($B52,Extract_R_20_10_25!$B$2:$H$75,2,FALSE)</f>
        <v>577</v>
      </c>
      <c r="S52" s="31">
        <f>VLOOKUP($B52,Extract_R_20_10_25!$B$2:$H$75,3,FALSE)</f>
        <v>0</v>
      </c>
      <c r="T52" s="55">
        <f>VLOOKUP($B52,Extract_R_20_10_25!$B$2:$H$75,4,FALSE)</f>
        <v>0</v>
      </c>
      <c r="U52" s="41">
        <v>104</v>
      </c>
      <c r="V52" s="41">
        <v>129.69999999999999</v>
      </c>
      <c r="W52" s="41">
        <v>137.9</v>
      </c>
      <c r="X52" s="41">
        <v>57.1</v>
      </c>
      <c r="Y52" s="41">
        <v>48.1</v>
      </c>
      <c r="Z52" s="41">
        <v>48</v>
      </c>
      <c r="AA52" s="41">
        <v>7.9</v>
      </c>
      <c r="AB52" s="41">
        <v>15.7</v>
      </c>
      <c r="AC52" s="41">
        <v>15.4</v>
      </c>
      <c r="AD52" s="41">
        <v>87.6</v>
      </c>
      <c r="AE52" s="56">
        <v>94.7</v>
      </c>
      <c r="AF52" s="41">
        <v>94.5</v>
      </c>
      <c r="AG52" s="41">
        <v>12.7</v>
      </c>
      <c r="AH52" s="41">
        <v>8</v>
      </c>
      <c r="AI52" s="41">
        <v>8.8000000000000007</v>
      </c>
      <c r="AJ52" s="57">
        <v>38.200000000000003</v>
      </c>
      <c r="AK52" s="57">
        <v>46.7</v>
      </c>
      <c r="AL52" s="57">
        <v>47.8</v>
      </c>
      <c r="AM52" s="57">
        <v>59.4</v>
      </c>
      <c r="AN52" s="57">
        <v>62.3</v>
      </c>
      <c r="AO52" s="57">
        <v>63.4</v>
      </c>
      <c r="AP52" s="58">
        <v>1.26</v>
      </c>
      <c r="AQ52" s="58">
        <v>1.42</v>
      </c>
      <c r="AR52" s="58">
        <v>1.43</v>
      </c>
      <c r="AS52" s="41">
        <v>24.2</v>
      </c>
      <c r="AT52" s="41">
        <v>21.5</v>
      </c>
      <c r="AU52" s="41">
        <v>21.4</v>
      </c>
      <c r="AV52" s="41">
        <v>52.6</v>
      </c>
      <c r="AW52" s="56">
        <v>52.3</v>
      </c>
      <c r="AX52" s="59">
        <v>50.5</v>
      </c>
      <c r="AY52" s="41">
        <v>25.3</v>
      </c>
      <c r="AZ52" s="56">
        <v>29.1</v>
      </c>
      <c r="BA52" s="59">
        <v>29.5</v>
      </c>
      <c r="BB52" s="41">
        <v>11.7</v>
      </c>
      <c r="BC52" s="56">
        <v>7.7</v>
      </c>
      <c r="BD52" s="32">
        <v>9.5</v>
      </c>
      <c r="BH52" s="41">
        <v>0</v>
      </c>
      <c r="BI52" s="41">
        <v>1</v>
      </c>
      <c r="BJ52" s="32">
        <v>1.2</v>
      </c>
      <c r="BK52" s="32">
        <v>90.1</v>
      </c>
      <c r="BL52" s="32">
        <v>83.4</v>
      </c>
      <c r="BM52" s="32">
        <v>83.3</v>
      </c>
      <c r="BN52" s="32">
        <v>82.1</v>
      </c>
      <c r="BO52" s="32">
        <v>82.7</v>
      </c>
      <c r="BP52" s="32">
        <v>83.3</v>
      </c>
      <c r="BQ52" s="41">
        <v>93.3</v>
      </c>
      <c r="BR52" s="32">
        <v>74.2</v>
      </c>
      <c r="BS52" s="32">
        <v>75.400000000000006</v>
      </c>
      <c r="BT52" s="32">
        <v>80.3</v>
      </c>
      <c r="BU52" s="32">
        <v>87.1</v>
      </c>
      <c r="BV52" s="32">
        <v>87.6</v>
      </c>
      <c r="BW52" s="41">
        <v>-1</v>
      </c>
      <c r="BX52" s="41">
        <v>-5.8</v>
      </c>
      <c r="BY52" s="41">
        <v>-5.8999999999999897</v>
      </c>
      <c r="BZ52" s="41">
        <v>10.199999999999999</v>
      </c>
      <c r="CA52" s="41">
        <v>11.3</v>
      </c>
      <c r="CB52" s="41">
        <v>11.2</v>
      </c>
      <c r="CC52" s="57" t="s">
        <v>306</v>
      </c>
      <c r="CD52" s="57" t="s">
        <v>306</v>
      </c>
      <c r="CE52" s="57" t="s">
        <v>306</v>
      </c>
      <c r="CF52" s="32">
        <v>14.244999999999999</v>
      </c>
      <c r="CG52" s="32">
        <v>14.525</v>
      </c>
      <c r="CH52" s="32">
        <v>14.55</v>
      </c>
      <c r="CI52" s="32"/>
      <c r="CJ52" s="32"/>
      <c r="CK52" s="32"/>
      <c r="CL52" s="41" t="s">
        <v>306</v>
      </c>
      <c r="CM52" s="31" t="s">
        <v>306</v>
      </c>
      <c r="CN52" s="55" t="s">
        <v>306</v>
      </c>
      <c r="CO52" s="41">
        <v>83.5</v>
      </c>
      <c r="CP52" s="41">
        <v>82.5</v>
      </c>
      <c r="CQ52" s="41">
        <v>75.5</v>
      </c>
      <c r="CR52" s="41">
        <v>4.0999999999999996</v>
      </c>
      <c r="CS52" s="41">
        <v>5.5</v>
      </c>
      <c r="CT52" s="41">
        <v>5.7</v>
      </c>
      <c r="CU52" s="56">
        <v>40.200000000000003</v>
      </c>
      <c r="CV52" s="56">
        <v>43.2</v>
      </c>
      <c r="CW52" s="56">
        <v>43.5</v>
      </c>
      <c r="CX52" s="32" t="str">
        <f t="shared" si="1"/>
        <v>9830656W</v>
      </c>
      <c r="CY52" s="41" t="s">
        <v>306</v>
      </c>
      <c r="CZ52" s="41" t="s">
        <v>306</v>
      </c>
      <c r="DA52" s="41" t="s">
        <v>306</v>
      </c>
      <c r="DD52" s="60"/>
    </row>
    <row r="53" spans="1:108">
      <c r="A53" s="30" t="s">
        <v>184</v>
      </c>
      <c r="B53" s="30" t="s">
        <v>98</v>
      </c>
      <c r="C53" s="30" t="s">
        <v>24</v>
      </c>
      <c r="D53" s="30" t="s">
        <v>127</v>
      </c>
      <c r="E53" s="30" t="s">
        <v>108</v>
      </c>
      <c r="F53" s="31" t="s">
        <v>10</v>
      </c>
      <c r="G53" s="31" t="s">
        <v>10</v>
      </c>
      <c r="H53" s="31" t="s">
        <v>10</v>
      </c>
      <c r="I53" s="31">
        <v>595</v>
      </c>
      <c r="J53" s="55" t="s">
        <v>10</v>
      </c>
      <c r="K53" s="55" t="s">
        <v>10</v>
      </c>
      <c r="L53" s="31">
        <v>610</v>
      </c>
      <c r="M53" s="55" t="s">
        <v>10</v>
      </c>
      <c r="N53" s="55" t="s">
        <v>10</v>
      </c>
      <c r="O53" s="31">
        <v>595</v>
      </c>
      <c r="P53" s="55" t="s">
        <v>10</v>
      </c>
      <c r="Q53" s="55" t="s">
        <v>10</v>
      </c>
      <c r="R53" s="55">
        <f>VLOOKUP($B53,Extract_R_20_10_25!$B$2:$H$75,2,FALSE)</f>
        <v>582</v>
      </c>
      <c r="S53" s="31">
        <f>VLOOKUP($B53,Extract_R_20_10_25!$B$2:$H$75,3,FALSE)</f>
        <v>0</v>
      </c>
      <c r="T53" s="55">
        <f>VLOOKUP($B53,Extract_R_20_10_25!$B$2:$H$75,4,FALSE)</f>
        <v>0</v>
      </c>
      <c r="U53" s="41">
        <v>100.8</v>
      </c>
      <c r="V53" s="41">
        <v>129.69999999999999</v>
      </c>
      <c r="W53" s="41">
        <v>137.9</v>
      </c>
      <c r="X53" s="41">
        <v>30.6</v>
      </c>
      <c r="Y53" s="41">
        <v>48.1</v>
      </c>
      <c r="Z53" s="41">
        <v>48</v>
      </c>
      <c r="AA53" s="41">
        <v>25</v>
      </c>
      <c r="AB53" s="41">
        <v>15.7</v>
      </c>
      <c r="AC53" s="41">
        <v>15.4</v>
      </c>
      <c r="AD53" s="41">
        <v>108.7</v>
      </c>
      <c r="AE53" s="56">
        <v>94.7</v>
      </c>
      <c r="AF53" s="41">
        <v>94.5</v>
      </c>
      <c r="AG53" s="41">
        <v>3.8</v>
      </c>
      <c r="AH53" s="41">
        <v>8</v>
      </c>
      <c r="AI53" s="41">
        <v>8.8000000000000007</v>
      </c>
      <c r="AJ53" s="57">
        <v>29.2</v>
      </c>
      <c r="AK53" s="57">
        <v>46.7</v>
      </c>
      <c r="AL53" s="57">
        <v>47.8</v>
      </c>
      <c r="AM53" s="57">
        <v>48.9</v>
      </c>
      <c r="AN53" s="57">
        <v>62.3</v>
      </c>
      <c r="AO53" s="57">
        <v>63.4</v>
      </c>
      <c r="AP53" s="58">
        <v>1.28</v>
      </c>
      <c r="AQ53" s="58">
        <v>1.42</v>
      </c>
      <c r="AR53" s="58">
        <v>1.43</v>
      </c>
      <c r="AS53" s="41">
        <v>24.4</v>
      </c>
      <c r="AT53" s="41">
        <v>21.5</v>
      </c>
      <c r="AU53" s="41">
        <v>21.4</v>
      </c>
      <c r="AV53" s="41">
        <v>73.3</v>
      </c>
      <c r="AW53" s="56">
        <v>52.3</v>
      </c>
      <c r="AX53" s="59">
        <v>50.5</v>
      </c>
      <c r="AY53" s="41">
        <v>16.8</v>
      </c>
      <c r="AZ53" s="56">
        <v>29.1</v>
      </c>
      <c r="BA53" s="59">
        <v>29.5</v>
      </c>
      <c r="BB53" s="41">
        <v>3.8</v>
      </c>
      <c r="BC53" s="56">
        <v>7.7</v>
      </c>
      <c r="BD53" s="32">
        <v>9.5</v>
      </c>
      <c r="BH53" s="41">
        <v>0</v>
      </c>
      <c r="BI53" s="41">
        <v>1</v>
      </c>
      <c r="BJ53" s="32">
        <v>1.2</v>
      </c>
      <c r="BK53" s="32">
        <v>88.5</v>
      </c>
      <c r="BL53" s="32">
        <v>83.4</v>
      </c>
      <c r="BM53" s="32">
        <v>83.3</v>
      </c>
      <c r="BN53" s="32">
        <v>79.5</v>
      </c>
      <c r="BO53" s="32">
        <v>82.7</v>
      </c>
      <c r="BP53" s="32">
        <v>83.3</v>
      </c>
      <c r="BQ53" s="41">
        <v>100</v>
      </c>
      <c r="BR53" s="32">
        <v>74.2</v>
      </c>
      <c r="BS53" s="32">
        <v>75.400000000000006</v>
      </c>
      <c r="BT53" s="32">
        <v>95.2</v>
      </c>
      <c r="BU53" s="32">
        <v>87.1</v>
      </c>
      <c r="BV53" s="32">
        <v>87.6</v>
      </c>
      <c r="BW53" s="41">
        <v>-4.6999999999999904</v>
      </c>
      <c r="BX53" s="41">
        <v>-5.8</v>
      </c>
      <c r="BY53" s="41">
        <v>-5.8999999999999897</v>
      </c>
      <c r="BZ53" s="41">
        <v>12.2</v>
      </c>
      <c r="CA53" s="41">
        <v>11.3</v>
      </c>
      <c r="CB53" s="41">
        <v>11.2</v>
      </c>
      <c r="CC53" s="57" t="s">
        <v>306</v>
      </c>
      <c r="CD53" s="57" t="s">
        <v>306</v>
      </c>
      <c r="CE53" s="57" t="s">
        <v>306</v>
      </c>
      <c r="CF53" s="32">
        <v>14.92</v>
      </c>
      <c r="CG53" s="32">
        <v>14.525</v>
      </c>
      <c r="CH53" s="32">
        <v>14.55</v>
      </c>
      <c r="CI53" s="32"/>
      <c r="CJ53" s="32"/>
      <c r="CK53" s="32"/>
      <c r="CL53" s="41" t="s">
        <v>306</v>
      </c>
      <c r="CM53" s="31" t="s">
        <v>306</v>
      </c>
      <c r="CN53" s="55" t="s">
        <v>306</v>
      </c>
      <c r="CO53" s="41">
        <v>89.8</v>
      </c>
      <c r="CP53" s="41">
        <v>82.5</v>
      </c>
      <c r="CQ53" s="41">
        <v>75.5</v>
      </c>
      <c r="CR53" s="41">
        <v>4.5999999999999996</v>
      </c>
      <c r="CS53" s="41">
        <v>5.5</v>
      </c>
      <c r="CT53" s="41">
        <v>5.7</v>
      </c>
      <c r="CU53" s="56">
        <v>42.7</v>
      </c>
      <c r="CV53" s="56">
        <v>43.2</v>
      </c>
      <c r="CW53" s="56">
        <v>43.5</v>
      </c>
      <c r="CX53" s="32" t="str">
        <f t="shared" si="1"/>
        <v>9830681Y</v>
      </c>
      <c r="CY53" s="41" t="s">
        <v>306</v>
      </c>
      <c r="CZ53" s="41" t="s">
        <v>306</v>
      </c>
      <c r="DA53" s="41" t="s">
        <v>306</v>
      </c>
      <c r="DD53" s="60"/>
    </row>
    <row r="54" spans="1:108">
      <c r="A54" s="30" t="s">
        <v>185</v>
      </c>
      <c r="B54" s="30" t="s">
        <v>99</v>
      </c>
      <c r="C54" s="30" t="s">
        <v>24</v>
      </c>
      <c r="D54" s="30" t="s">
        <v>118</v>
      </c>
      <c r="E54" s="30" t="s">
        <v>108</v>
      </c>
      <c r="F54" s="31" t="s">
        <v>10</v>
      </c>
      <c r="G54" s="31" t="s">
        <v>10</v>
      </c>
      <c r="H54" s="31" t="s">
        <v>10</v>
      </c>
      <c r="I54" s="31">
        <v>426</v>
      </c>
      <c r="J54" s="55" t="s">
        <v>10</v>
      </c>
      <c r="K54" s="55" t="s">
        <v>10</v>
      </c>
      <c r="L54" s="31">
        <v>449</v>
      </c>
      <c r="M54" s="55" t="s">
        <v>10</v>
      </c>
      <c r="N54" s="55" t="s">
        <v>10</v>
      </c>
      <c r="O54" s="31">
        <v>431</v>
      </c>
      <c r="P54" s="55" t="s">
        <v>10</v>
      </c>
      <c r="Q54" s="55" t="s">
        <v>10</v>
      </c>
      <c r="R54" s="55">
        <f>VLOOKUP($B54,Extract_R_20_10_25!$B$2:$H$75,2,FALSE)</f>
        <v>430</v>
      </c>
      <c r="S54" s="31">
        <f>VLOOKUP($B54,Extract_R_20_10_25!$B$2:$H$75,3,FALSE)</f>
        <v>0</v>
      </c>
      <c r="T54" s="55">
        <f>VLOOKUP($B54,Extract_R_20_10_25!$B$2:$H$75,4,FALSE)</f>
        <v>0</v>
      </c>
      <c r="U54" s="41">
        <v>123.6</v>
      </c>
      <c r="V54" s="41">
        <v>129.69999999999999</v>
      </c>
      <c r="W54" s="41">
        <v>137.9</v>
      </c>
      <c r="X54" s="41">
        <v>42.9</v>
      </c>
      <c r="Y54" s="41">
        <v>48.1</v>
      </c>
      <c r="Z54" s="41">
        <v>48</v>
      </c>
      <c r="AA54" s="41">
        <v>16.899999999999999</v>
      </c>
      <c r="AB54" s="41">
        <v>15.7</v>
      </c>
      <c r="AC54" s="41">
        <v>15.4</v>
      </c>
      <c r="AD54" s="41">
        <v>100.9</v>
      </c>
      <c r="AE54" s="56">
        <v>94.7</v>
      </c>
      <c r="AF54" s="41">
        <v>94.5</v>
      </c>
      <c r="AG54" s="41">
        <v>6.8</v>
      </c>
      <c r="AH54" s="41">
        <v>8</v>
      </c>
      <c r="AI54" s="41">
        <v>8.8000000000000007</v>
      </c>
      <c r="AJ54" s="57">
        <v>50.9</v>
      </c>
      <c r="AK54" s="57">
        <v>46.7</v>
      </c>
      <c r="AL54" s="57">
        <v>47.8</v>
      </c>
      <c r="AM54" s="57">
        <v>63.1</v>
      </c>
      <c r="AN54" s="57">
        <v>62.3</v>
      </c>
      <c r="AO54" s="57">
        <v>63.4</v>
      </c>
      <c r="AP54" s="58">
        <v>1.33</v>
      </c>
      <c r="AQ54" s="58">
        <v>1.42</v>
      </c>
      <c r="AR54" s="58">
        <v>1.43</v>
      </c>
      <c r="AS54" s="41">
        <v>22.7</v>
      </c>
      <c r="AT54" s="41">
        <v>21.5</v>
      </c>
      <c r="AU54" s="41">
        <v>21.4</v>
      </c>
      <c r="AV54" s="41">
        <v>41.9</v>
      </c>
      <c r="AW54" s="56">
        <v>52.3</v>
      </c>
      <c r="AX54" s="59">
        <v>50.5</v>
      </c>
      <c r="AY54" s="41">
        <v>25.6</v>
      </c>
      <c r="AZ54" s="56">
        <v>29.1</v>
      </c>
      <c r="BA54" s="59">
        <v>29.5</v>
      </c>
      <c r="BB54" s="41">
        <v>11.1</v>
      </c>
      <c r="BC54" s="56">
        <v>7.7</v>
      </c>
      <c r="BD54" s="32">
        <v>9.5</v>
      </c>
      <c r="BE54" s="57"/>
      <c r="BG54" s="31"/>
      <c r="BH54" s="41">
        <v>0.9</v>
      </c>
      <c r="BI54" s="41">
        <v>1</v>
      </c>
      <c r="BJ54" s="32">
        <v>1.2</v>
      </c>
      <c r="BK54" s="32">
        <v>80.900000000000006</v>
      </c>
      <c r="BL54" s="32">
        <v>83.4</v>
      </c>
      <c r="BM54" s="32">
        <v>83.3</v>
      </c>
      <c r="BN54" s="32">
        <v>93.1</v>
      </c>
      <c r="BO54" s="32">
        <v>82.7</v>
      </c>
      <c r="BP54" s="32">
        <v>83.3</v>
      </c>
      <c r="BQ54" s="41">
        <v>75</v>
      </c>
      <c r="BR54" s="32">
        <v>74.2</v>
      </c>
      <c r="BS54" s="32">
        <v>75.400000000000006</v>
      </c>
      <c r="BT54" s="32">
        <v>89.7</v>
      </c>
      <c r="BU54" s="32">
        <v>87.1</v>
      </c>
      <c r="BV54" s="32">
        <v>87.6</v>
      </c>
      <c r="BW54" s="41">
        <v>0.5</v>
      </c>
      <c r="BX54" s="41">
        <v>-5.8</v>
      </c>
      <c r="BY54" s="41">
        <v>-5.8999999999999897</v>
      </c>
      <c r="BZ54" s="41">
        <v>13.1</v>
      </c>
      <c r="CA54" s="41">
        <v>11.3</v>
      </c>
      <c r="CB54" s="41">
        <v>11.2</v>
      </c>
      <c r="CC54" s="57" t="s">
        <v>306</v>
      </c>
      <c r="CD54" s="57" t="s">
        <v>306</v>
      </c>
      <c r="CE54" s="57" t="s">
        <v>306</v>
      </c>
      <c r="CF54" s="32">
        <v>14.414999999999999</v>
      </c>
      <c r="CG54" s="32">
        <v>14.525</v>
      </c>
      <c r="CH54" s="32">
        <v>14.55</v>
      </c>
      <c r="CI54" s="32"/>
      <c r="CJ54" s="32"/>
      <c r="CK54" s="32"/>
      <c r="CL54" s="41" t="s">
        <v>306</v>
      </c>
      <c r="CM54" s="31" t="s">
        <v>306</v>
      </c>
      <c r="CN54" s="55" t="s">
        <v>306</v>
      </c>
      <c r="CO54" s="41">
        <v>84.9</v>
      </c>
      <c r="CP54" s="41">
        <v>82.5</v>
      </c>
      <c r="CQ54" s="41">
        <v>75.5</v>
      </c>
      <c r="CR54" s="41">
        <v>3.4</v>
      </c>
      <c r="CS54" s="41">
        <v>5.5</v>
      </c>
      <c r="CT54" s="41">
        <v>5.7</v>
      </c>
      <c r="CU54" s="56">
        <v>39.6</v>
      </c>
      <c r="CV54" s="56">
        <v>43.2</v>
      </c>
      <c r="CW54" s="56">
        <v>43.5</v>
      </c>
      <c r="CX54" s="32" t="str">
        <f t="shared" si="1"/>
        <v>9830691J</v>
      </c>
      <c r="CY54" s="41" t="s">
        <v>306</v>
      </c>
      <c r="CZ54" s="41" t="s">
        <v>306</v>
      </c>
      <c r="DA54" s="41" t="s">
        <v>306</v>
      </c>
      <c r="DD54" s="60"/>
    </row>
    <row r="55" spans="1:108">
      <c r="A55" s="30" t="s">
        <v>241</v>
      </c>
      <c r="B55" s="30" t="s">
        <v>242</v>
      </c>
      <c r="C55" s="30" t="s">
        <v>24</v>
      </c>
      <c r="D55" s="30" t="s">
        <v>127</v>
      </c>
      <c r="E55" s="30" t="s">
        <v>108</v>
      </c>
      <c r="F55" s="31" t="s">
        <v>10</v>
      </c>
      <c r="G55" s="31" t="s">
        <v>10</v>
      </c>
      <c r="H55" s="31" t="s">
        <v>10</v>
      </c>
      <c r="I55" s="31">
        <v>422</v>
      </c>
      <c r="J55" s="55" t="s">
        <v>10</v>
      </c>
      <c r="K55" s="55" t="s">
        <v>10</v>
      </c>
      <c r="L55" s="31">
        <v>404</v>
      </c>
      <c r="M55" s="55" t="s">
        <v>10</v>
      </c>
      <c r="N55" s="55" t="s">
        <v>10</v>
      </c>
      <c r="O55" s="31">
        <v>428</v>
      </c>
      <c r="P55" s="55" t="s">
        <v>10</v>
      </c>
      <c r="Q55" s="55" t="s">
        <v>10</v>
      </c>
      <c r="R55" s="55">
        <f>VLOOKUP($B55,Extract_R_20_10_25!$B$2:$H$75,2,FALSE)</f>
        <v>428</v>
      </c>
      <c r="S55" s="31">
        <f>VLOOKUP($B55,Extract_R_20_10_25!$B$2:$H$75,3,FALSE)</f>
        <v>0</v>
      </c>
      <c r="T55" s="55">
        <f>VLOOKUP($B55,Extract_R_20_10_25!$B$2:$H$75,4,FALSE)</f>
        <v>0</v>
      </c>
      <c r="U55" s="41">
        <v>102.3</v>
      </c>
      <c r="V55" s="41">
        <v>129.69999999999999</v>
      </c>
      <c r="W55" s="41">
        <v>137.9</v>
      </c>
      <c r="X55" s="41">
        <v>62.1</v>
      </c>
      <c r="Y55" s="41">
        <v>48.1</v>
      </c>
      <c r="Z55" s="41">
        <v>48</v>
      </c>
      <c r="AA55" s="41">
        <v>8</v>
      </c>
      <c r="AB55" s="41">
        <v>15.7</v>
      </c>
      <c r="AC55" s="41">
        <v>15.4</v>
      </c>
      <c r="AD55" s="41">
        <v>87.1</v>
      </c>
      <c r="AE55" s="56">
        <v>94.7</v>
      </c>
      <c r="AF55" s="41">
        <v>94.5</v>
      </c>
      <c r="AG55" s="41">
        <v>8</v>
      </c>
      <c r="AH55" s="41">
        <v>8</v>
      </c>
      <c r="AI55" s="41">
        <v>8.8000000000000007</v>
      </c>
      <c r="AJ55" s="57">
        <v>45.3</v>
      </c>
      <c r="AK55" s="57">
        <v>46.7</v>
      </c>
      <c r="AL55" s="57">
        <v>47.8</v>
      </c>
      <c r="AM55" s="57">
        <v>60.8</v>
      </c>
      <c r="AN55" s="57">
        <v>62.3</v>
      </c>
      <c r="AO55" s="57">
        <v>63.4</v>
      </c>
      <c r="AP55" s="58">
        <v>1.28</v>
      </c>
      <c r="AQ55" s="58">
        <v>1.42</v>
      </c>
      <c r="AR55" s="58">
        <v>1.43</v>
      </c>
      <c r="AS55" s="41">
        <v>23.8</v>
      </c>
      <c r="AT55" s="41">
        <v>21.5</v>
      </c>
      <c r="AU55" s="41">
        <v>21.4</v>
      </c>
      <c r="AV55" s="41">
        <v>50.5</v>
      </c>
      <c r="AW55" s="56">
        <v>52.3</v>
      </c>
      <c r="AX55" s="59">
        <v>50.5</v>
      </c>
      <c r="AY55" s="41">
        <v>37.6</v>
      </c>
      <c r="AZ55" s="56">
        <v>29.1</v>
      </c>
      <c r="BA55" s="59">
        <v>29.5</v>
      </c>
      <c r="BB55" s="41">
        <v>8.3000000000000007</v>
      </c>
      <c r="BC55" s="56">
        <v>7.7</v>
      </c>
      <c r="BD55" s="32">
        <v>9.5</v>
      </c>
      <c r="BE55" s="57"/>
      <c r="BG55" s="31"/>
      <c r="BH55" s="41">
        <v>0.9</v>
      </c>
      <c r="BI55" s="41">
        <v>1</v>
      </c>
      <c r="BJ55" s="32">
        <v>1.2</v>
      </c>
      <c r="BK55" s="32">
        <v>85.5</v>
      </c>
      <c r="BL55" s="32">
        <v>83.4</v>
      </c>
      <c r="BM55" s="32">
        <v>83.3</v>
      </c>
      <c r="BN55" s="32">
        <v>87.5</v>
      </c>
      <c r="BO55" s="32">
        <v>82.7</v>
      </c>
      <c r="BP55" s="32">
        <v>83.3</v>
      </c>
      <c r="BQ55" s="41">
        <v>73.7</v>
      </c>
      <c r="BR55" s="32">
        <v>74.2</v>
      </c>
      <c r="BS55" s="32">
        <v>75.400000000000006</v>
      </c>
      <c r="BT55" s="32">
        <v>86.4</v>
      </c>
      <c r="BU55" s="32">
        <v>87.1</v>
      </c>
      <c r="BV55" s="32">
        <v>87.6</v>
      </c>
      <c r="BW55" s="41">
        <v>-7.1000000000000103</v>
      </c>
      <c r="BX55" s="41">
        <v>-5.8</v>
      </c>
      <c r="BY55" s="41">
        <v>-5.8999999999999897</v>
      </c>
      <c r="BZ55" s="41">
        <v>11.1</v>
      </c>
      <c r="CA55" s="41">
        <v>11.3</v>
      </c>
      <c r="CB55" s="41">
        <v>11.2</v>
      </c>
      <c r="CC55" s="57" t="s">
        <v>306</v>
      </c>
      <c r="CD55" s="57" t="s">
        <v>306</v>
      </c>
      <c r="CE55" s="57" t="s">
        <v>306</v>
      </c>
      <c r="CF55" s="32">
        <v>14.54</v>
      </c>
      <c r="CG55" s="32">
        <v>14.525</v>
      </c>
      <c r="CH55" s="32">
        <v>14.55</v>
      </c>
      <c r="CI55" s="57"/>
      <c r="CJ55" s="32"/>
      <c r="CK55" s="32"/>
      <c r="CL55" s="41" t="s">
        <v>306</v>
      </c>
      <c r="CM55" s="31" t="s">
        <v>306</v>
      </c>
      <c r="CN55" s="55" t="s">
        <v>306</v>
      </c>
      <c r="CO55" s="41">
        <v>89</v>
      </c>
      <c r="CP55" s="41">
        <v>82.5</v>
      </c>
      <c r="CQ55" s="41">
        <v>75.5</v>
      </c>
      <c r="CR55" s="41">
        <v>3.1</v>
      </c>
      <c r="CS55" s="41">
        <v>5.5</v>
      </c>
      <c r="CT55" s="41">
        <v>5.7</v>
      </c>
      <c r="CU55" s="56">
        <v>40.5</v>
      </c>
      <c r="CV55" s="56">
        <v>43.2</v>
      </c>
      <c r="CW55" s="56">
        <v>43.5</v>
      </c>
      <c r="CX55" s="32" t="str">
        <f t="shared" si="1"/>
        <v>9830698S</v>
      </c>
      <c r="CY55" s="41" t="s">
        <v>306</v>
      </c>
      <c r="CZ55" s="41" t="s">
        <v>306</v>
      </c>
      <c r="DA55" s="41" t="s">
        <v>306</v>
      </c>
      <c r="DD55" s="60"/>
    </row>
    <row r="56" spans="1:108">
      <c r="P56" s="31"/>
      <c r="CO56" s="41"/>
      <c r="CY56" s="41"/>
    </row>
    <row r="57" spans="1:108" s="51" customFormat="1" ht="38.25">
      <c r="A57" s="51" t="s">
        <v>134</v>
      </c>
      <c r="B57" s="51" t="s">
        <v>104</v>
      </c>
      <c r="D57" s="51" t="s">
        <v>261</v>
      </c>
      <c r="E57" s="51" t="s">
        <v>260</v>
      </c>
      <c r="F57" s="51" t="s">
        <v>47</v>
      </c>
      <c r="G57" s="51" t="s">
        <v>301</v>
      </c>
      <c r="H57" s="51" t="s">
        <v>302</v>
      </c>
      <c r="I57" s="51" t="s">
        <v>46</v>
      </c>
      <c r="J57" s="51" t="s">
        <v>44</v>
      </c>
      <c r="K57" s="51" t="s">
        <v>43</v>
      </c>
      <c r="L57" s="51" t="s">
        <v>42</v>
      </c>
      <c r="M57" s="51" t="s">
        <v>45</v>
      </c>
      <c r="BE57" s="61"/>
    </row>
    <row r="58" spans="1:108" s="33" customFormat="1">
      <c r="A58" s="33" t="s">
        <v>135</v>
      </c>
      <c r="B58" s="33" t="s">
        <v>48</v>
      </c>
      <c r="C58" s="62"/>
      <c r="D58" s="52">
        <v>5</v>
      </c>
      <c r="E58" s="52">
        <v>2.2179489999999999</v>
      </c>
      <c r="F58" s="52">
        <v>4</v>
      </c>
      <c r="G58" s="52"/>
      <c r="H58" s="52"/>
      <c r="I58" s="52">
        <v>-3.9534880000000001</v>
      </c>
      <c r="J58" s="52"/>
      <c r="K58" s="52">
        <v>-0.34574500000000002</v>
      </c>
      <c r="L58" s="52">
        <v>2.0801530000000001</v>
      </c>
      <c r="M58" s="52">
        <v>-0.24390200000000001</v>
      </c>
      <c r="Q58" s="52"/>
      <c r="R58" s="52"/>
      <c r="S58" s="52"/>
      <c r="T58" s="52"/>
      <c r="U58" s="52"/>
      <c r="V58" s="52"/>
      <c r="AV58" s="63"/>
      <c r="AW58" s="63"/>
      <c r="AY58" s="63"/>
      <c r="AZ58" s="63"/>
      <c r="BE58" s="62"/>
      <c r="BT58" s="52"/>
      <c r="BU58" s="52"/>
      <c r="BV58" s="62"/>
      <c r="BW58" s="52"/>
    </row>
    <row r="59" spans="1:108" s="33" customFormat="1">
      <c r="A59" s="33" t="s">
        <v>136</v>
      </c>
      <c r="B59" s="33" t="s">
        <v>49</v>
      </c>
      <c r="C59" s="62"/>
      <c r="D59" s="52">
        <v>-1.6577059999999999</v>
      </c>
      <c r="E59" s="52">
        <v>-1.30742</v>
      </c>
      <c r="F59" s="52">
        <v>-1.272321</v>
      </c>
      <c r="G59" s="52"/>
      <c r="H59" s="52"/>
      <c r="I59" s="52">
        <v>0.98039200000000004</v>
      </c>
      <c r="J59" s="52"/>
      <c r="K59" s="52">
        <v>0.24193500000000001</v>
      </c>
      <c r="L59" s="52">
        <v>-0.22831099999999999</v>
      </c>
      <c r="M59" s="52">
        <v>5</v>
      </c>
      <c r="Q59" s="52"/>
      <c r="R59" s="52"/>
      <c r="S59" s="52"/>
      <c r="T59" s="52"/>
      <c r="U59" s="52"/>
      <c r="V59" s="52"/>
      <c r="AV59" s="63"/>
      <c r="AW59" s="63"/>
      <c r="AY59" s="63"/>
      <c r="AZ59" s="63"/>
      <c r="BE59" s="62"/>
      <c r="BT59" s="52"/>
      <c r="BU59" s="52"/>
      <c r="BV59" s="62"/>
      <c r="BW59" s="52"/>
    </row>
    <row r="60" spans="1:108" s="33" customFormat="1">
      <c r="A60" s="33" t="s">
        <v>137</v>
      </c>
      <c r="B60" s="33" t="s">
        <v>50</v>
      </c>
      <c r="C60" s="62"/>
      <c r="D60" s="52">
        <v>0.830565</v>
      </c>
      <c r="E60" s="52">
        <v>-1.9257949999999999</v>
      </c>
      <c r="F60" s="52">
        <v>3.8461539999999999</v>
      </c>
      <c r="G60" s="52"/>
      <c r="H60" s="52"/>
      <c r="I60" s="52">
        <v>0.34313700000000003</v>
      </c>
      <c r="J60" s="52"/>
      <c r="K60" s="52">
        <v>-0.46542600000000001</v>
      </c>
      <c r="L60" s="52">
        <v>-0.76483999999999996</v>
      </c>
      <c r="M60" s="52">
        <v>-0.30487799999999998</v>
      </c>
      <c r="Q60" s="52"/>
      <c r="R60" s="52"/>
      <c r="S60" s="52"/>
      <c r="T60" s="52"/>
      <c r="U60" s="52"/>
      <c r="V60" s="52"/>
      <c r="AV60" s="63"/>
      <c r="AW60" s="63"/>
      <c r="AY60" s="63"/>
      <c r="AZ60" s="63"/>
      <c r="BE60" s="62"/>
      <c r="BT60" s="52"/>
      <c r="BU60" s="52"/>
      <c r="BV60" s="62"/>
      <c r="BW60" s="52"/>
    </row>
    <row r="61" spans="1:108" s="33" customFormat="1">
      <c r="A61" s="33" t="s">
        <v>138</v>
      </c>
      <c r="B61" s="33" t="s">
        <v>51</v>
      </c>
      <c r="C61" s="62"/>
      <c r="D61" s="52">
        <v>1.8438540000000001</v>
      </c>
      <c r="E61" s="52">
        <v>-1.572438</v>
      </c>
      <c r="F61" s="52">
        <v>-6.6963999999999996E-2</v>
      </c>
      <c r="G61" s="52"/>
      <c r="H61" s="52"/>
      <c r="I61" s="52">
        <v>-0.81395300000000004</v>
      </c>
      <c r="J61" s="52"/>
      <c r="K61" s="52">
        <v>-0.65159599999999995</v>
      </c>
      <c r="L61" s="52">
        <v>-1.426941</v>
      </c>
      <c r="M61" s="52">
        <v>-6.0976000000000002E-2</v>
      </c>
      <c r="Q61" s="52"/>
      <c r="R61" s="52"/>
      <c r="S61" s="52"/>
      <c r="T61" s="52"/>
      <c r="U61" s="52"/>
      <c r="V61" s="52"/>
      <c r="AV61" s="63"/>
      <c r="AW61" s="63"/>
      <c r="AY61" s="63"/>
      <c r="AZ61" s="63"/>
      <c r="BE61" s="62"/>
      <c r="BT61" s="52"/>
      <c r="BU61" s="52"/>
      <c r="BV61" s="62"/>
      <c r="BW61" s="52"/>
    </row>
    <row r="62" spans="1:108" s="33" customFormat="1">
      <c r="A62" s="33" t="s">
        <v>139</v>
      </c>
      <c r="B62" s="33" t="s">
        <v>52</v>
      </c>
      <c r="C62" s="62"/>
      <c r="D62" s="52">
        <v>2.4086379999999998</v>
      </c>
      <c r="E62" s="52">
        <v>-0.176678</v>
      </c>
      <c r="F62" s="52">
        <v>-0.40178599999999998</v>
      </c>
      <c r="G62" s="52"/>
      <c r="H62" s="52"/>
      <c r="I62" s="52">
        <v>-0.11627899999999999</v>
      </c>
      <c r="J62" s="52"/>
      <c r="K62" s="52">
        <v>-0.53191500000000003</v>
      </c>
      <c r="L62" s="52">
        <v>-0.94748900000000003</v>
      </c>
      <c r="M62" s="52">
        <v>-0.121951</v>
      </c>
      <c r="Q62" s="52"/>
      <c r="R62" s="52"/>
      <c r="S62" s="52"/>
      <c r="T62" s="52"/>
      <c r="U62" s="52"/>
      <c r="V62" s="52"/>
      <c r="AV62" s="63"/>
      <c r="AW62" s="63"/>
      <c r="AY62" s="63"/>
      <c r="AZ62" s="63"/>
      <c r="BE62" s="62"/>
      <c r="BT62" s="52"/>
      <c r="BU62" s="52"/>
      <c r="BV62" s="62"/>
      <c r="BW62" s="52"/>
    </row>
    <row r="63" spans="1:108" s="33" customFormat="1">
      <c r="A63" s="33" t="s">
        <v>140</v>
      </c>
      <c r="B63" s="33" t="s">
        <v>53</v>
      </c>
      <c r="C63" s="62"/>
      <c r="D63" s="52">
        <v>4.6345510000000001</v>
      </c>
      <c r="E63" s="52">
        <v>-1.3427560000000001</v>
      </c>
      <c r="F63" s="52">
        <v>0.769231</v>
      </c>
      <c r="G63" s="52"/>
      <c r="H63" s="52"/>
      <c r="I63" s="52">
        <v>-0.81395300000000004</v>
      </c>
      <c r="J63" s="52"/>
      <c r="K63" s="52">
        <v>-5.3191000000000002E-2</v>
      </c>
      <c r="L63" s="52">
        <v>-0.82191800000000004</v>
      </c>
      <c r="M63" s="52">
        <v>-0.64024400000000004</v>
      </c>
      <c r="Q63" s="52"/>
      <c r="R63" s="52"/>
      <c r="S63" s="52"/>
      <c r="T63" s="52"/>
      <c r="U63" s="52"/>
      <c r="V63" s="52"/>
      <c r="AV63" s="63"/>
      <c r="AW63" s="63"/>
      <c r="AY63" s="63"/>
      <c r="AZ63" s="63"/>
      <c r="BE63" s="62"/>
      <c r="BT63" s="52"/>
      <c r="BU63" s="52"/>
      <c r="BV63" s="62"/>
      <c r="BW63" s="52"/>
    </row>
    <row r="64" spans="1:108" s="33" customFormat="1">
      <c r="A64" s="33" t="s">
        <v>141</v>
      </c>
      <c r="B64" s="33" t="s">
        <v>54</v>
      </c>
      <c r="C64" s="62"/>
      <c r="D64" s="52">
        <v>4.7508309999999998</v>
      </c>
      <c r="E64" s="52">
        <v>3.9230770000000001</v>
      </c>
      <c r="F64" s="52">
        <v>1.0769230000000001</v>
      </c>
      <c r="G64" s="52"/>
      <c r="H64" s="52"/>
      <c r="I64" s="52">
        <v>-5</v>
      </c>
      <c r="J64" s="52"/>
      <c r="K64" s="52">
        <v>4.1935479999999998</v>
      </c>
      <c r="L64" s="52">
        <v>4.9236639999999996</v>
      </c>
      <c r="M64" s="52">
        <v>5</v>
      </c>
      <c r="Q64" s="52"/>
      <c r="R64" s="52"/>
      <c r="S64" s="52"/>
      <c r="T64" s="52"/>
      <c r="U64" s="52"/>
      <c r="V64" s="52"/>
      <c r="AV64" s="63"/>
      <c r="AW64" s="63"/>
      <c r="AY64" s="63"/>
      <c r="AZ64" s="63"/>
      <c r="BE64" s="62"/>
      <c r="BT64" s="52"/>
      <c r="BU64" s="52"/>
      <c r="BV64" s="62"/>
      <c r="BW64" s="52"/>
    </row>
    <row r="65" spans="1:75" s="33" customFormat="1">
      <c r="A65" s="33" t="s">
        <v>142</v>
      </c>
      <c r="B65" s="33" t="s">
        <v>55</v>
      </c>
      <c r="C65" s="62"/>
      <c r="D65" s="52">
        <v>4.6511630000000004</v>
      </c>
      <c r="E65" s="52">
        <v>-1.7667839999999999</v>
      </c>
      <c r="F65" s="52">
        <v>-1.183036</v>
      </c>
      <c r="G65" s="52"/>
      <c r="H65" s="52"/>
      <c r="I65" s="52">
        <v>-2.3255810000000001</v>
      </c>
      <c r="J65" s="52"/>
      <c r="K65" s="52">
        <v>-1.5026600000000001</v>
      </c>
      <c r="L65" s="52">
        <v>-1.1986300000000001</v>
      </c>
      <c r="M65" s="52">
        <v>5</v>
      </c>
      <c r="Q65" s="52"/>
      <c r="R65" s="52"/>
      <c r="S65" s="52"/>
      <c r="T65" s="52"/>
      <c r="U65" s="52"/>
      <c r="V65" s="52"/>
      <c r="AV65" s="63"/>
      <c r="AW65" s="63"/>
      <c r="AY65" s="63"/>
      <c r="AZ65" s="63"/>
      <c r="BE65" s="62"/>
      <c r="BT65" s="52"/>
      <c r="BU65" s="52"/>
      <c r="BV65" s="62"/>
      <c r="BW65" s="52"/>
    </row>
    <row r="66" spans="1:75" s="33" customFormat="1">
      <c r="A66" s="33" t="s">
        <v>143</v>
      </c>
      <c r="B66" s="33" t="s">
        <v>56</v>
      </c>
      <c r="C66" s="62"/>
      <c r="D66" s="52">
        <v>4.2857139999999996</v>
      </c>
      <c r="E66" s="52">
        <v>-0.42402800000000002</v>
      </c>
      <c r="F66" s="52">
        <v>-0.42410700000000001</v>
      </c>
      <c r="G66" s="52"/>
      <c r="H66" s="52"/>
      <c r="I66" s="52">
        <v>0.39215699999999998</v>
      </c>
      <c r="J66" s="52"/>
      <c r="K66" s="52">
        <v>3.3064520000000002</v>
      </c>
      <c r="L66" s="52">
        <v>-0.70776300000000003</v>
      </c>
      <c r="M66" s="52">
        <v>1.25</v>
      </c>
      <c r="Q66" s="52"/>
      <c r="R66" s="52"/>
      <c r="S66" s="52"/>
      <c r="T66" s="52"/>
      <c r="U66" s="52"/>
      <c r="V66" s="52"/>
      <c r="AV66" s="63"/>
      <c r="AW66" s="63"/>
      <c r="AY66" s="63"/>
      <c r="AZ66" s="63"/>
      <c r="BE66" s="62"/>
      <c r="BT66" s="52"/>
      <c r="BU66" s="52"/>
      <c r="BV66" s="62"/>
      <c r="BW66" s="52"/>
    </row>
    <row r="67" spans="1:75" s="33" customFormat="1">
      <c r="A67" s="33" t="s">
        <v>144</v>
      </c>
      <c r="B67" s="33" t="s">
        <v>57</v>
      </c>
      <c r="C67" s="62"/>
      <c r="D67" s="52">
        <v>2.1096349999999999</v>
      </c>
      <c r="E67" s="52">
        <v>-0.38869300000000001</v>
      </c>
      <c r="F67" s="52">
        <v>-2.8125</v>
      </c>
      <c r="G67" s="52"/>
      <c r="H67" s="52"/>
      <c r="I67" s="52">
        <v>1.176471</v>
      </c>
      <c r="J67" s="52"/>
      <c r="K67" s="52">
        <v>-0.69148900000000002</v>
      </c>
      <c r="L67" s="52">
        <v>-2.2031960000000002</v>
      </c>
      <c r="M67" s="52">
        <v>5</v>
      </c>
      <c r="Q67" s="52"/>
      <c r="R67" s="52"/>
      <c r="S67" s="52"/>
      <c r="T67" s="52"/>
      <c r="U67" s="52"/>
      <c r="V67" s="52"/>
      <c r="AV67" s="63"/>
      <c r="AW67" s="63"/>
      <c r="AY67" s="63"/>
      <c r="AZ67" s="63"/>
      <c r="BE67" s="62"/>
      <c r="BT67" s="52"/>
      <c r="BU67" s="52"/>
      <c r="BV67" s="62"/>
      <c r="BW67" s="52"/>
    </row>
    <row r="68" spans="1:75" s="33" customFormat="1">
      <c r="A68" s="33" t="s">
        <v>145</v>
      </c>
      <c r="B68" s="33" t="s">
        <v>58</v>
      </c>
      <c r="C68" s="62"/>
      <c r="D68" s="52">
        <v>-2.2132619999999998</v>
      </c>
      <c r="E68" s="52">
        <v>-2.6501769999999998</v>
      </c>
      <c r="F68" s="52">
        <v>2.230769</v>
      </c>
      <c r="G68" s="52"/>
      <c r="H68" s="52"/>
      <c r="I68" s="52">
        <v>1.0784309999999999</v>
      </c>
      <c r="J68" s="52"/>
      <c r="K68" s="52">
        <v>5</v>
      </c>
      <c r="L68" s="52">
        <v>-2.3401830000000001</v>
      </c>
      <c r="M68" s="52">
        <v>-1.1585369999999999</v>
      </c>
      <c r="Q68" s="52"/>
      <c r="R68" s="52"/>
      <c r="S68" s="52"/>
      <c r="T68" s="52"/>
      <c r="U68" s="52"/>
      <c r="V68" s="52"/>
      <c r="AV68" s="63"/>
      <c r="AW68" s="63"/>
      <c r="AY68" s="63"/>
      <c r="AZ68" s="63"/>
      <c r="BE68" s="62"/>
      <c r="BT68" s="52"/>
      <c r="BU68" s="52"/>
      <c r="BV68" s="62"/>
      <c r="BW68" s="52"/>
    </row>
    <row r="69" spans="1:75" s="33" customFormat="1">
      <c r="A69" s="33" t="s">
        <v>146</v>
      </c>
      <c r="B69" s="33" t="s">
        <v>59</v>
      </c>
      <c r="C69" s="62"/>
      <c r="D69" s="52">
        <v>4.8172759999999997</v>
      </c>
      <c r="E69" s="52">
        <v>5</v>
      </c>
      <c r="F69" s="52">
        <v>-8.9286000000000004E-2</v>
      </c>
      <c r="G69" s="52"/>
      <c r="H69" s="52"/>
      <c r="I69" s="52">
        <v>-4.5348839999999999</v>
      </c>
      <c r="J69" s="52"/>
      <c r="K69" s="52">
        <v>5</v>
      </c>
      <c r="L69" s="52">
        <v>5</v>
      </c>
      <c r="M69" s="52">
        <v>5</v>
      </c>
      <c r="Q69" s="52"/>
      <c r="R69" s="52"/>
      <c r="S69" s="52"/>
      <c r="T69" s="52"/>
      <c r="U69" s="52"/>
      <c r="V69" s="52"/>
      <c r="AV69" s="63"/>
      <c r="AW69" s="63"/>
      <c r="AY69" s="63"/>
      <c r="AZ69" s="63"/>
      <c r="BE69" s="62"/>
      <c r="BT69" s="52"/>
      <c r="BU69" s="52"/>
      <c r="BV69" s="62"/>
      <c r="BW69" s="52"/>
    </row>
    <row r="70" spans="1:75" s="33" customFormat="1">
      <c r="A70" s="33" t="s">
        <v>147</v>
      </c>
      <c r="B70" s="33" t="s">
        <v>60</v>
      </c>
      <c r="C70" s="62"/>
      <c r="D70" s="52">
        <v>1.1627909999999999</v>
      </c>
      <c r="E70" s="52">
        <v>-1.2190810000000001</v>
      </c>
      <c r="F70" s="52">
        <v>1.769231</v>
      </c>
      <c r="G70" s="52"/>
      <c r="H70" s="52"/>
      <c r="I70" s="52">
        <v>-0.581395</v>
      </c>
      <c r="J70" s="52"/>
      <c r="K70" s="52">
        <v>2.9435479999999998</v>
      </c>
      <c r="L70" s="52">
        <v>-1.2785390000000001</v>
      </c>
      <c r="M70" s="52">
        <v>-0.21341499999999999</v>
      </c>
      <c r="Q70" s="52"/>
      <c r="R70" s="52"/>
      <c r="S70" s="52"/>
      <c r="T70" s="52"/>
      <c r="U70" s="52"/>
      <c r="V70" s="52"/>
      <c r="AV70" s="63"/>
      <c r="AW70" s="63"/>
      <c r="AY70" s="63"/>
      <c r="AZ70" s="63"/>
      <c r="BE70" s="62"/>
      <c r="BT70" s="52"/>
      <c r="BU70" s="52"/>
      <c r="BV70" s="62"/>
      <c r="BW70" s="52"/>
    </row>
    <row r="71" spans="1:75" s="33" customFormat="1">
      <c r="A71" s="33" t="s">
        <v>148</v>
      </c>
      <c r="B71" s="33" t="s">
        <v>61</v>
      </c>
      <c r="C71" s="62"/>
      <c r="D71" s="52">
        <v>0.614618</v>
      </c>
      <c r="E71" s="52">
        <v>7.6923000000000005E-2</v>
      </c>
      <c r="F71" s="52">
        <v>-1.183036</v>
      </c>
      <c r="G71" s="52"/>
      <c r="H71" s="52"/>
      <c r="I71" s="52">
        <v>-0.34883700000000001</v>
      </c>
      <c r="J71" s="52"/>
      <c r="K71" s="52">
        <v>2.5403229999999999</v>
      </c>
      <c r="L71" s="52">
        <v>2.4427479999999999</v>
      </c>
      <c r="M71" s="52">
        <v>-0.396341</v>
      </c>
      <c r="Q71" s="52"/>
      <c r="R71" s="52"/>
      <c r="S71" s="52"/>
      <c r="T71" s="52"/>
      <c r="U71" s="52"/>
      <c r="V71" s="52"/>
      <c r="AV71" s="63"/>
      <c r="AW71" s="63"/>
      <c r="AY71" s="63"/>
      <c r="AZ71" s="63"/>
      <c r="BE71" s="62"/>
      <c r="BT71" s="52"/>
      <c r="BU71" s="52"/>
      <c r="BV71" s="62"/>
      <c r="BW71" s="52"/>
    </row>
    <row r="72" spans="1:75" s="33" customFormat="1">
      <c r="A72" s="33" t="s">
        <v>149</v>
      </c>
      <c r="B72" s="33" t="s">
        <v>62</v>
      </c>
      <c r="C72" s="62"/>
      <c r="D72" s="52">
        <v>-2.9838710000000002</v>
      </c>
      <c r="E72" s="52">
        <v>-3.180212</v>
      </c>
      <c r="F72" s="52">
        <v>1.6153850000000001</v>
      </c>
      <c r="G72" s="52"/>
      <c r="H72" s="52"/>
      <c r="I72" s="52">
        <v>-0.69767400000000002</v>
      </c>
      <c r="J72" s="52"/>
      <c r="K72" s="52">
        <v>-1.8484039999999999</v>
      </c>
      <c r="L72" s="52">
        <v>-1.5639270000000001</v>
      </c>
      <c r="M72" s="52">
        <v>5</v>
      </c>
      <c r="Q72" s="52"/>
      <c r="R72" s="52"/>
      <c r="S72" s="52"/>
      <c r="T72" s="52"/>
      <c r="U72" s="52"/>
      <c r="V72" s="52"/>
      <c r="AV72" s="63"/>
      <c r="AW72" s="63"/>
      <c r="AY72" s="63"/>
      <c r="AZ72" s="63"/>
      <c r="BE72" s="62"/>
      <c r="BT72" s="52"/>
      <c r="BU72" s="52"/>
      <c r="BV72" s="62"/>
      <c r="BW72" s="52"/>
    </row>
    <row r="73" spans="1:75" s="33" customFormat="1">
      <c r="A73" s="33" t="s">
        <v>150</v>
      </c>
      <c r="B73" s="33" t="s">
        <v>63</v>
      </c>
      <c r="C73" s="62"/>
      <c r="D73" s="52">
        <v>-3.6559140000000001</v>
      </c>
      <c r="E73" s="52">
        <v>-5</v>
      </c>
      <c r="F73" s="52">
        <v>-1.5625</v>
      </c>
      <c r="G73" s="52"/>
      <c r="H73" s="52"/>
      <c r="I73" s="52">
        <v>2.254902</v>
      </c>
      <c r="J73" s="52"/>
      <c r="K73" s="52">
        <v>5</v>
      </c>
      <c r="L73" s="52">
        <v>-1.5639270000000001</v>
      </c>
      <c r="M73" s="52">
        <v>5</v>
      </c>
      <c r="Q73" s="52"/>
      <c r="R73" s="52"/>
      <c r="S73" s="52"/>
      <c r="T73" s="52"/>
      <c r="U73" s="52"/>
      <c r="V73" s="52"/>
      <c r="AV73" s="63"/>
      <c r="AW73" s="63"/>
      <c r="AY73" s="63"/>
      <c r="AZ73" s="63"/>
      <c r="BE73" s="62"/>
      <c r="BT73" s="52"/>
      <c r="BU73" s="52"/>
      <c r="BV73" s="62"/>
      <c r="BW73" s="52"/>
    </row>
    <row r="74" spans="1:75" s="33" customFormat="1">
      <c r="A74" s="33" t="s">
        <v>151</v>
      </c>
      <c r="B74" s="33" t="s">
        <v>64</v>
      </c>
      <c r="C74" s="62"/>
      <c r="D74" s="52">
        <v>-0.94982100000000003</v>
      </c>
      <c r="E74" s="52">
        <v>-3.144876</v>
      </c>
      <c r="F74" s="52">
        <v>5</v>
      </c>
      <c r="G74" s="52"/>
      <c r="H74" s="52"/>
      <c r="I74" s="52">
        <v>-1.860465</v>
      </c>
      <c r="J74" s="52"/>
      <c r="K74" s="52">
        <v>-0.25266</v>
      </c>
      <c r="L74" s="52">
        <v>-5</v>
      </c>
      <c r="M74" s="52">
        <v>-1.6768289999999999</v>
      </c>
      <c r="Q74" s="52"/>
      <c r="R74" s="52"/>
      <c r="S74" s="52"/>
      <c r="T74" s="52"/>
      <c r="U74" s="52"/>
      <c r="V74" s="52"/>
      <c r="AV74" s="63"/>
      <c r="AW74" s="63"/>
      <c r="AY74" s="63"/>
      <c r="AZ74" s="63"/>
      <c r="BE74" s="62"/>
      <c r="BT74" s="52"/>
      <c r="BU74" s="52"/>
      <c r="BV74" s="62"/>
      <c r="BW74" s="52"/>
    </row>
    <row r="75" spans="1:75" s="33" customFormat="1">
      <c r="A75" s="33" t="s">
        <v>152</v>
      </c>
      <c r="B75" s="33" t="s">
        <v>65</v>
      </c>
      <c r="C75" s="62"/>
      <c r="D75" s="52">
        <v>-4.1308239999999996</v>
      </c>
      <c r="E75" s="52">
        <v>-1.7667839999999999</v>
      </c>
      <c r="F75" s="52">
        <v>-2.9910709999999998</v>
      </c>
      <c r="G75" s="52"/>
      <c r="H75" s="52"/>
      <c r="I75" s="52">
        <v>1.813725</v>
      </c>
      <c r="J75" s="52"/>
      <c r="K75" s="52">
        <v>-1.103723</v>
      </c>
      <c r="L75" s="52">
        <v>-2.305936</v>
      </c>
      <c r="M75" s="52">
        <v>-0.54878000000000005</v>
      </c>
      <c r="Q75" s="52"/>
      <c r="R75" s="52"/>
      <c r="S75" s="52"/>
      <c r="T75" s="52"/>
      <c r="U75" s="52"/>
      <c r="V75" s="52"/>
      <c r="AV75" s="63"/>
      <c r="AW75" s="63"/>
      <c r="AY75" s="63"/>
      <c r="AZ75" s="63"/>
      <c r="BE75" s="62"/>
      <c r="BT75" s="52"/>
      <c r="BU75" s="52"/>
      <c r="BV75" s="62"/>
      <c r="BW75" s="52"/>
    </row>
    <row r="76" spans="1:75" s="33" customFormat="1">
      <c r="A76" s="33" t="s">
        <v>153</v>
      </c>
      <c r="B76" s="33" t="s">
        <v>66</v>
      </c>
      <c r="C76" s="62"/>
      <c r="D76" s="52">
        <v>-3.7275990000000001</v>
      </c>
      <c r="E76" s="52">
        <v>-4.0812720000000002</v>
      </c>
      <c r="F76" s="52">
        <v>3.9230770000000001</v>
      </c>
      <c r="G76" s="52"/>
      <c r="H76" s="52"/>
      <c r="I76" s="52">
        <v>1.176471</v>
      </c>
      <c r="J76" s="52"/>
      <c r="K76" s="52">
        <v>-0.85106400000000004</v>
      </c>
      <c r="L76" s="52">
        <v>0.53435100000000002</v>
      </c>
      <c r="M76" s="52">
        <v>5</v>
      </c>
      <c r="Q76" s="52"/>
      <c r="R76" s="52"/>
      <c r="S76" s="52"/>
      <c r="T76" s="52"/>
      <c r="U76" s="52"/>
      <c r="V76" s="52"/>
      <c r="AV76" s="63"/>
      <c r="AW76" s="63"/>
      <c r="AY76" s="63"/>
      <c r="AZ76" s="63"/>
      <c r="BE76" s="62"/>
      <c r="BT76" s="52"/>
      <c r="BU76" s="52"/>
      <c r="BV76" s="62"/>
      <c r="BW76" s="52"/>
    </row>
    <row r="77" spans="1:75" s="33" customFormat="1">
      <c r="A77" s="33" t="s">
        <v>133</v>
      </c>
      <c r="B77" s="33" t="s">
        <v>11</v>
      </c>
      <c r="C77" s="62"/>
      <c r="D77" s="52">
        <v>4.5681060000000002</v>
      </c>
      <c r="E77" s="52">
        <v>2.3461539999999999</v>
      </c>
      <c r="F77" s="52">
        <v>7.6923000000000005E-2</v>
      </c>
      <c r="G77" s="52"/>
      <c r="H77" s="52"/>
      <c r="I77" s="52">
        <v>-2.7906979999999999</v>
      </c>
      <c r="J77" s="52"/>
      <c r="K77" s="52">
        <v>0.96774199999999999</v>
      </c>
      <c r="L77" s="52">
        <v>4.2366409999999997</v>
      </c>
      <c r="M77" s="52">
        <v>-0.18292700000000001</v>
      </c>
      <c r="Q77" s="52"/>
      <c r="R77" s="52"/>
      <c r="S77" s="52"/>
      <c r="T77" s="52"/>
      <c r="U77" s="52"/>
      <c r="V77" s="52"/>
      <c r="AV77" s="63"/>
      <c r="AW77" s="63"/>
      <c r="AY77" s="63"/>
      <c r="AZ77" s="63"/>
      <c r="BE77" s="62"/>
      <c r="BT77" s="52"/>
      <c r="BU77" s="52"/>
      <c r="BV77" s="62"/>
      <c r="BW77" s="52"/>
    </row>
    <row r="78" spans="1:75" s="33" customFormat="1">
      <c r="A78" s="33" t="s">
        <v>244</v>
      </c>
      <c r="B78" s="33" t="s">
        <v>67</v>
      </c>
      <c r="C78" s="62"/>
      <c r="D78" s="52">
        <v>0.647841</v>
      </c>
      <c r="E78" s="52">
        <v>-2.7031800000000001</v>
      </c>
      <c r="F78" s="52">
        <v>0</v>
      </c>
      <c r="G78" s="52"/>
      <c r="H78" s="52"/>
      <c r="I78" s="52">
        <v>1.323529</v>
      </c>
      <c r="J78" s="52"/>
      <c r="K78" s="52">
        <v>-0.53191500000000003</v>
      </c>
      <c r="L78" s="52">
        <v>-0.27397300000000002</v>
      </c>
      <c r="M78" s="52">
        <v>-0.21341499999999999</v>
      </c>
      <c r="Q78" s="52"/>
      <c r="R78" s="52"/>
      <c r="S78" s="52"/>
      <c r="T78" s="52"/>
      <c r="U78" s="52"/>
      <c r="V78" s="52"/>
      <c r="AV78" s="63"/>
      <c r="AW78" s="63"/>
      <c r="AY78" s="63"/>
      <c r="AZ78" s="63"/>
      <c r="BE78" s="62"/>
      <c r="BT78" s="52"/>
      <c r="BU78" s="52"/>
      <c r="BV78" s="62"/>
      <c r="BW78" s="52"/>
    </row>
    <row r="79" spans="1:75" s="33" customFormat="1">
      <c r="A79" s="33" t="s">
        <v>154</v>
      </c>
      <c r="B79" s="33" t="s">
        <v>68</v>
      </c>
      <c r="C79" s="62"/>
      <c r="D79" s="52">
        <v>1.744186</v>
      </c>
      <c r="E79" s="52">
        <v>0.730769</v>
      </c>
      <c r="F79" s="52">
        <v>5</v>
      </c>
      <c r="G79" s="52"/>
      <c r="H79" s="52"/>
      <c r="I79" s="52">
        <v>-0.11627899999999999</v>
      </c>
      <c r="J79" s="52"/>
      <c r="K79" s="52">
        <v>-1.675532</v>
      </c>
      <c r="L79" s="52">
        <v>-2.3972600000000002</v>
      </c>
      <c r="M79" s="52">
        <v>-0.335366</v>
      </c>
      <c r="Q79" s="52"/>
      <c r="R79" s="52"/>
      <c r="S79" s="52"/>
      <c r="T79" s="52"/>
      <c r="U79" s="52"/>
      <c r="V79" s="52"/>
      <c r="AV79" s="63"/>
      <c r="AW79" s="63"/>
      <c r="AY79" s="63"/>
      <c r="AZ79" s="63"/>
      <c r="BE79" s="62"/>
      <c r="BT79" s="52"/>
      <c r="BU79" s="52"/>
      <c r="BV79" s="62"/>
      <c r="BW79" s="52"/>
    </row>
    <row r="80" spans="1:75" s="33" customFormat="1">
      <c r="A80" s="33" t="s">
        <v>155</v>
      </c>
      <c r="B80" s="33" t="s">
        <v>69</v>
      </c>
      <c r="C80" s="62"/>
      <c r="D80" s="52">
        <v>0.71428599999999998</v>
      </c>
      <c r="E80" s="52">
        <v>-4.2579510000000003</v>
      </c>
      <c r="F80" s="52">
        <v>-1.227679</v>
      </c>
      <c r="G80" s="52"/>
      <c r="H80" s="52"/>
      <c r="I80" s="52">
        <v>-3.9534880000000001</v>
      </c>
      <c r="J80" s="52"/>
      <c r="K80" s="52">
        <v>-1.0106379999999999</v>
      </c>
      <c r="L80" s="52">
        <v>-1.4840180000000001</v>
      </c>
      <c r="M80" s="52">
        <v>-0.91463399999999995</v>
      </c>
      <c r="Q80" s="52"/>
      <c r="R80" s="52"/>
      <c r="S80" s="52"/>
      <c r="T80" s="52"/>
      <c r="U80" s="52"/>
      <c r="V80" s="52"/>
      <c r="AV80" s="63"/>
      <c r="AW80" s="63"/>
      <c r="AY80" s="63"/>
      <c r="AZ80" s="63"/>
      <c r="BE80" s="62"/>
      <c r="BT80" s="52"/>
      <c r="BU80" s="52"/>
      <c r="BV80" s="62"/>
      <c r="BW80" s="52"/>
    </row>
    <row r="81" spans="1:75" s="33" customFormat="1">
      <c r="A81" s="33" t="s">
        <v>156</v>
      </c>
      <c r="B81" s="33" t="s">
        <v>70</v>
      </c>
      <c r="C81" s="62"/>
      <c r="D81" s="52">
        <v>4.7840530000000001</v>
      </c>
      <c r="E81" s="52">
        <v>-0.60070699999999999</v>
      </c>
      <c r="F81" s="52">
        <v>2.8461539999999999</v>
      </c>
      <c r="G81" s="52"/>
      <c r="H81" s="52"/>
      <c r="I81" s="52">
        <v>1.0784309999999999</v>
      </c>
      <c r="J81" s="52"/>
      <c r="K81" s="52">
        <v>-1.462766</v>
      </c>
      <c r="L81" s="52">
        <v>0.89694700000000005</v>
      </c>
      <c r="M81" s="52">
        <v>-3.0488000000000001E-2</v>
      </c>
      <c r="Q81" s="52"/>
      <c r="R81" s="52"/>
      <c r="S81" s="52"/>
      <c r="T81" s="52"/>
      <c r="U81" s="52"/>
      <c r="V81" s="52"/>
      <c r="AV81" s="63"/>
      <c r="AW81" s="63"/>
      <c r="AY81" s="63"/>
      <c r="AZ81" s="63"/>
      <c r="BE81" s="62"/>
      <c r="BT81" s="52"/>
      <c r="BU81" s="52"/>
      <c r="BV81" s="62"/>
      <c r="BW81" s="52"/>
    </row>
    <row r="82" spans="1:75" s="33" customFormat="1">
      <c r="A82" s="33" t="s">
        <v>157</v>
      </c>
      <c r="B82" s="33" t="s">
        <v>71</v>
      </c>
      <c r="C82" s="62"/>
      <c r="D82" s="52">
        <v>-3.5931899999999999</v>
      </c>
      <c r="E82" s="52">
        <v>-0.141343</v>
      </c>
      <c r="F82" s="52">
        <v>0.461538</v>
      </c>
      <c r="G82" s="52"/>
      <c r="H82" s="52"/>
      <c r="I82" s="52">
        <v>1.9607840000000001</v>
      </c>
      <c r="J82" s="52"/>
      <c r="K82" s="52">
        <v>1.0887100000000001</v>
      </c>
      <c r="L82" s="52">
        <v>-2.6141549999999998</v>
      </c>
      <c r="M82" s="52">
        <v>5</v>
      </c>
      <c r="Q82" s="52"/>
      <c r="R82" s="52"/>
      <c r="S82" s="52"/>
      <c r="T82" s="52"/>
      <c r="U82" s="52"/>
      <c r="V82" s="52"/>
      <c r="AV82" s="63"/>
      <c r="AW82" s="63"/>
      <c r="AY82" s="63"/>
      <c r="AZ82" s="63"/>
      <c r="BE82" s="62"/>
      <c r="BT82" s="52"/>
      <c r="BU82" s="52"/>
      <c r="BV82" s="62"/>
      <c r="BW82" s="52"/>
    </row>
    <row r="83" spans="1:75" s="33" customFormat="1">
      <c r="A83" s="33" t="s">
        <v>158</v>
      </c>
      <c r="B83" s="33" t="s">
        <v>72</v>
      </c>
      <c r="C83" s="62"/>
      <c r="D83" s="52">
        <v>-0.77956999999999999</v>
      </c>
      <c r="E83" s="52">
        <v>-2.4911660000000002</v>
      </c>
      <c r="F83" s="52">
        <v>-1.763393</v>
      </c>
      <c r="G83" s="52"/>
      <c r="H83" s="52"/>
      <c r="I83" s="52">
        <v>2.156863</v>
      </c>
      <c r="J83" s="52"/>
      <c r="K83" s="52">
        <v>5</v>
      </c>
      <c r="L83" s="52">
        <v>-3.6187209999999999</v>
      </c>
      <c r="M83" s="52">
        <v>5</v>
      </c>
      <c r="Q83" s="52"/>
      <c r="R83" s="52"/>
      <c r="S83" s="52"/>
      <c r="T83" s="52"/>
      <c r="U83" s="52"/>
      <c r="V83" s="52"/>
      <c r="AV83" s="63"/>
      <c r="AW83" s="63"/>
      <c r="AY83" s="63"/>
      <c r="AZ83" s="63"/>
      <c r="BE83" s="62"/>
      <c r="BT83" s="52"/>
      <c r="BU83" s="52"/>
      <c r="BV83" s="62"/>
      <c r="BW83" s="52"/>
    </row>
    <row r="84" spans="1:75" s="33" customFormat="1">
      <c r="A84" s="33" t="s">
        <v>159</v>
      </c>
      <c r="B84" s="33" t="s">
        <v>73</v>
      </c>
      <c r="C84" s="62"/>
      <c r="D84" s="52">
        <v>-3.6111110000000002</v>
      </c>
      <c r="E84" s="52">
        <v>-2.5618370000000001</v>
      </c>
      <c r="F84" s="52">
        <v>-0.58035700000000001</v>
      </c>
      <c r="G84" s="52"/>
      <c r="H84" s="52"/>
      <c r="I84" s="52">
        <v>1.22549</v>
      </c>
      <c r="J84" s="52"/>
      <c r="K84" s="52">
        <v>3.8306450000000001</v>
      </c>
      <c r="L84" s="52">
        <v>-2.2260270000000002</v>
      </c>
      <c r="M84" s="52">
        <v>5</v>
      </c>
      <c r="Q84" s="52"/>
      <c r="R84" s="52"/>
      <c r="S84" s="52"/>
      <c r="T84" s="52"/>
      <c r="U84" s="52"/>
      <c r="V84" s="52"/>
      <c r="AV84" s="63"/>
      <c r="AW84" s="63"/>
      <c r="AY84" s="63"/>
      <c r="AZ84" s="63"/>
      <c r="BE84" s="62"/>
      <c r="BT84" s="52"/>
      <c r="BU84" s="52"/>
      <c r="BV84" s="62"/>
      <c r="BW84" s="52"/>
    </row>
    <row r="85" spans="1:75" s="33" customFormat="1">
      <c r="A85" s="33" t="s">
        <v>160</v>
      </c>
      <c r="B85" s="33" t="s">
        <v>74</v>
      </c>
      <c r="C85" s="62"/>
      <c r="D85" s="52">
        <v>-5.3762999999999998E-2</v>
      </c>
      <c r="E85" s="52">
        <v>-3.321555</v>
      </c>
      <c r="F85" s="52">
        <v>5</v>
      </c>
      <c r="G85" s="52"/>
      <c r="H85" s="52"/>
      <c r="I85" s="52">
        <v>3.0392160000000001</v>
      </c>
      <c r="J85" s="52"/>
      <c r="K85" s="52">
        <v>-1.303191</v>
      </c>
      <c r="L85" s="52">
        <v>-3.5502280000000002</v>
      </c>
      <c r="M85" s="52">
        <v>5</v>
      </c>
      <c r="Q85" s="52"/>
      <c r="R85" s="52"/>
      <c r="S85" s="52"/>
      <c r="T85" s="52"/>
      <c r="U85" s="52"/>
      <c r="V85" s="52"/>
      <c r="AV85" s="63"/>
      <c r="AW85" s="63"/>
      <c r="AY85" s="63"/>
      <c r="AZ85" s="63"/>
      <c r="BE85" s="62"/>
      <c r="BT85" s="52"/>
      <c r="BU85" s="52"/>
      <c r="BV85" s="62"/>
      <c r="BW85" s="52"/>
    </row>
    <row r="86" spans="1:75" s="33" customFormat="1">
      <c r="A86" s="33" t="s">
        <v>161</v>
      </c>
      <c r="B86" s="33" t="s">
        <v>75</v>
      </c>
      <c r="C86" s="62"/>
      <c r="D86" s="52">
        <v>-2.1146950000000002</v>
      </c>
      <c r="E86" s="52">
        <v>-3.9929329999999998</v>
      </c>
      <c r="F86" s="52">
        <v>-0.49107099999999998</v>
      </c>
      <c r="G86" s="52"/>
      <c r="H86" s="52"/>
      <c r="I86" s="52">
        <v>1.029412</v>
      </c>
      <c r="J86" s="52"/>
      <c r="K86" s="52">
        <v>-1.3298000000000001E-2</v>
      </c>
      <c r="L86" s="52">
        <v>-1.1986300000000001</v>
      </c>
      <c r="M86" s="52">
        <v>-9.1463000000000003E-2</v>
      </c>
      <c r="Q86" s="52"/>
      <c r="R86" s="52"/>
      <c r="S86" s="52"/>
      <c r="T86" s="52"/>
      <c r="U86" s="52"/>
      <c r="V86" s="52"/>
      <c r="AV86" s="63"/>
      <c r="AW86" s="63"/>
      <c r="AY86" s="63"/>
      <c r="AZ86" s="63"/>
      <c r="BE86" s="62"/>
      <c r="BT86" s="52"/>
      <c r="BU86" s="52"/>
      <c r="BV86" s="62"/>
      <c r="BW86" s="52"/>
    </row>
    <row r="87" spans="1:75" s="33" customFormat="1">
      <c r="A87" s="33" t="s">
        <v>162</v>
      </c>
      <c r="B87" s="33" t="s">
        <v>76</v>
      </c>
      <c r="C87" s="62"/>
      <c r="D87" s="52">
        <v>-1.191756</v>
      </c>
      <c r="E87" s="52">
        <v>1.1410260000000001</v>
      </c>
      <c r="F87" s="52">
        <v>-1.227679</v>
      </c>
      <c r="G87" s="52"/>
      <c r="H87" s="52"/>
      <c r="I87" s="52">
        <v>1.0784309999999999</v>
      </c>
      <c r="J87" s="52"/>
      <c r="K87" s="52">
        <v>5</v>
      </c>
      <c r="L87" s="52">
        <v>-2.077626</v>
      </c>
      <c r="M87" s="52">
        <v>5</v>
      </c>
      <c r="Q87" s="52"/>
      <c r="R87" s="52"/>
      <c r="S87" s="52"/>
      <c r="T87" s="52"/>
      <c r="U87" s="52"/>
      <c r="V87" s="52"/>
      <c r="AV87" s="63"/>
      <c r="AW87" s="63"/>
      <c r="AY87" s="63"/>
      <c r="AZ87" s="63"/>
      <c r="BE87" s="62"/>
      <c r="BT87" s="52"/>
      <c r="BU87" s="52"/>
      <c r="BV87" s="62"/>
      <c r="BW87" s="52"/>
    </row>
    <row r="88" spans="1:75" s="33" customFormat="1">
      <c r="A88" s="33" t="s">
        <v>163</v>
      </c>
      <c r="B88" s="33" t="s">
        <v>77</v>
      </c>
      <c r="C88" s="62"/>
      <c r="D88" s="52">
        <v>-2.4014340000000001</v>
      </c>
      <c r="E88" s="52">
        <v>-3.7455829999999999</v>
      </c>
      <c r="F88" s="52">
        <v>-0.9375</v>
      </c>
      <c r="G88" s="52"/>
      <c r="H88" s="52"/>
      <c r="I88" s="52">
        <v>1.715686</v>
      </c>
      <c r="J88" s="52"/>
      <c r="K88" s="52">
        <v>-1.675532</v>
      </c>
      <c r="L88" s="52">
        <v>-2.305936</v>
      </c>
      <c r="M88" s="52">
        <v>-1.4939020000000001</v>
      </c>
      <c r="Q88" s="52"/>
      <c r="R88" s="52"/>
      <c r="S88" s="52"/>
      <c r="T88" s="52"/>
      <c r="U88" s="52"/>
      <c r="V88" s="52"/>
      <c r="AV88" s="63"/>
      <c r="AW88" s="63"/>
      <c r="AY88" s="63"/>
      <c r="AZ88" s="63"/>
      <c r="BE88" s="62"/>
      <c r="BT88" s="52"/>
      <c r="BU88" s="52"/>
      <c r="BV88" s="62"/>
      <c r="BW88" s="52"/>
    </row>
    <row r="89" spans="1:75" s="33" customFormat="1">
      <c r="A89" s="33" t="s">
        <v>164</v>
      </c>
      <c r="B89" s="33" t="s">
        <v>78</v>
      </c>
      <c r="C89" s="62"/>
      <c r="D89" s="52">
        <v>-1.24552</v>
      </c>
      <c r="E89" s="52">
        <v>-2.5265019999999998</v>
      </c>
      <c r="F89" s="52">
        <v>-1.227679</v>
      </c>
      <c r="G89" s="52"/>
      <c r="H89" s="52"/>
      <c r="I89" s="52">
        <v>0.78431399999999996</v>
      </c>
      <c r="J89" s="52"/>
      <c r="K89" s="52">
        <v>1.0887100000000001</v>
      </c>
      <c r="L89" s="52">
        <v>-2.4543379999999999</v>
      </c>
      <c r="M89" s="52">
        <v>5</v>
      </c>
      <c r="Q89" s="52"/>
      <c r="R89" s="52"/>
      <c r="S89" s="52"/>
      <c r="T89" s="52"/>
      <c r="U89" s="52"/>
      <c r="V89" s="52"/>
      <c r="AV89" s="63"/>
      <c r="AW89" s="63"/>
      <c r="AY89" s="63"/>
      <c r="AZ89" s="63"/>
      <c r="BE89" s="62"/>
      <c r="BT89" s="52"/>
      <c r="BU89" s="52"/>
      <c r="BV89" s="62"/>
      <c r="BW89" s="52"/>
    </row>
    <row r="90" spans="1:75" s="33" customFormat="1">
      <c r="A90" s="33" t="s">
        <v>165</v>
      </c>
      <c r="B90" s="33" t="s">
        <v>79</v>
      </c>
      <c r="C90" s="62"/>
      <c r="D90" s="52">
        <v>-2.2132619999999998</v>
      </c>
      <c r="E90" s="52">
        <v>-1.855124</v>
      </c>
      <c r="F90" s="52">
        <v>-0.60267899999999996</v>
      </c>
      <c r="G90" s="52"/>
      <c r="H90" s="52"/>
      <c r="I90" s="52">
        <v>1.8627450000000001</v>
      </c>
      <c r="J90" s="52"/>
      <c r="K90" s="52">
        <v>5</v>
      </c>
      <c r="L90" s="52">
        <v>1.0877859999999999</v>
      </c>
      <c r="M90" s="52">
        <v>5</v>
      </c>
      <c r="Q90" s="52"/>
      <c r="R90" s="52"/>
      <c r="S90" s="52"/>
      <c r="T90" s="52"/>
      <c r="U90" s="52"/>
      <c r="V90" s="52"/>
      <c r="AV90" s="63"/>
      <c r="AW90" s="63"/>
      <c r="AY90" s="63"/>
      <c r="AZ90" s="63"/>
      <c r="BE90" s="62"/>
      <c r="BT90" s="52"/>
      <c r="BU90" s="52"/>
      <c r="BV90" s="62"/>
      <c r="BW90" s="52"/>
    </row>
    <row r="91" spans="1:75" s="33" customFormat="1">
      <c r="A91" s="33" t="s">
        <v>166</v>
      </c>
      <c r="B91" s="33" t="s">
        <v>80</v>
      </c>
      <c r="C91" s="62"/>
      <c r="D91" s="52">
        <v>-0.71684599999999998</v>
      </c>
      <c r="E91" s="52">
        <v>-0.67137800000000003</v>
      </c>
      <c r="F91" s="52">
        <v>-5</v>
      </c>
      <c r="G91" s="52"/>
      <c r="H91" s="52"/>
      <c r="I91" s="52">
        <v>5</v>
      </c>
      <c r="J91" s="52"/>
      <c r="K91" s="52">
        <v>-2.553191</v>
      </c>
      <c r="L91" s="52">
        <v>-3.3561640000000001</v>
      </c>
      <c r="M91" s="52">
        <v>5</v>
      </c>
      <c r="Q91" s="52"/>
      <c r="R91" s="52"/>
      <c r="S91" s="52"/>
      <c r="T91" s="52"/>
      <c r="U91" s="52"/>
      <c r="V91" s="52"/>
      <c r="AV91" s="63"/>
      <c r="AW91" s="63"/>
      <c r="AY91" s="63"/>
      <c r="AZ91" s="63"/>
      <c r="BE91" s="62"/>
      <c r="BT91" s="52"/>
      <c r="BU91" s="52"/>
      <c r="BV91" s="62"/>
      <c r="BW91" s="52"/>
    </row>
    <row r="92" spans="1:75" s="33" customFormat="1">
      <c r="A92" s="33" t="s">
        <v>167</v>
      </c>
      <c r="B92" s="33" t="s">
        <v>81</v>
      </c>
      <c r="C92" s="62"/>
      <c r="D92" s="52">
        <v>4.5348839999999999</v>
      </c>
      <c r="E92" s="52">
        <v>-1.2897529999999999</v>
      </c>
      <c r="F92" s="52">
        <v>-0.42410700000000001</v>
      </c>
      <c r="G92" s="52"/>
      <c r="H92" s="52"/>
      <c r="I92" s="52">
        <v>0.53921600000000003</v>
      </c>
      <c r="J92" s="52"/>
      <c r="K92" s="52">
        <v>-1.941489</v>
      </c>
      <c r="L92" s="52">
        <v>-1.244292</v>
      </c>
      <c r="M92" s="52">
        <v>0.83333299999999999</v>
      </c>
      <c r="Q92" s="52"/>
      <c r="R92" s="52"/>
      <c r="S92" s="52"/>
      <c r="T92" s="52"/>
      <c r="U92" s="52"/>
      <c r="V92" s="52"/>
      <c r="AV92" s="63"/>
      <c r="AW92" s="63"/>
      <c r="AY92" s="63"/>
      <c r="AZ92" s="63"/>
      <c r="BE92" s="62"/>
      <c r="BT92" s="52"/>
      <c r="BU92" s="52"/>
      <c r="BV92" s="62"/>
      <c r="BW92" s="52"/>
    </row>
    <row r="93" spans="1:75" s="33" customFormat="1">
      <c r="A93" s="33" t="s">
        <v>168</v>
      </c>
      <c r="B93" s="33" t="s">
        <v>82</v>
      </c>
      <c r="C93" s="62"/>
      <c r="D93" s="52">
        <v>-2.2580650000000002</v>
      </c>
      <c r="E93" s="52">
        <v>-3.6572439999999999</v>
      </c>
      <c r="F93" s="52">
        <v>5</v>
      </c>
      <c r="G93" s="52"/>
      <c r="H93" s="52"/>
      <c r="I93" s="52">
        <v>9.8039000000000001E-2</v>
      </c>
      <c r="J93" s="52"/>
      <c r="K93" s="52">
        <v>5</v>
      </c>
      <c r="L93" s="52">
        <v>-2.4086759999999998</v>
      </c>
      <c r="M93" s="52">
        <v>5</v>
      </c>
      <c r="Q93" s="52"/>
      <c r="R93" s="52"/>
      <c r="S93" s="52"/>
      <c r="T93" s="52"/>
      <c r="U93" s="52"/>
      <c r="V93" s="52"/>
      <c r="AV93" s="63"/>
      <c r="AW93" s="63"/>
      <c r="AY93" s="63"/>
      <c r="AZ93" s="63"/>
      <c r="BE93" s="62"/>
      <c r="BT93" s="52"/>
      <c r="BU93" s="52"/>
      <c r="BV93" s="62"/>
      <c r="BW93" s="52"/>
    </row>
    <row r="94" spans="1:75" s="33" customFormat="1">
      <c r="A94" s="33" t="s">
        <v>169</v>
      </c>
      <c r="B94" s="33" t="s">
        <v>83</v>
      </c>
      <c r="C94" s="62"/>
      <c r="D94" s="52">
        <v>-3.3422939999999999</v>
      </c>
      <c r="E94" s="52">
        <v>-3.8339219999999998</v>
      </c>
      <c r="F94" s="52">
        <v>0.15384600000000001</v>
      </c>
      <c r="G94" s="52"/>
      <c r="H94" s="52"/>
      <c r="I94" s="52">
        <v>1.6666669999999999</v>
      </c>
      <c r="J94" s="52"/>
      <c r="K94" s="52">
        <v>-5</v>
      </c>
      <c r="L94" s="52">
        <v>-4.46347</v>
      </c>
      <c r="M94" s="52">
        <v>-1.3719509999999999</v>
      </c>
      <c r="Q94" s="52"/>
      <c r="R94" s="52"/>
      <c r="S94" s="52"/>
      <c r="T94" s="52"/>
      <c r="U94" s="52"/>
      <c r="V94" s="52"/>
      <c r="AV94" s="63"/>
      <c r="AW94" s="63"/>
      <c r="AY94" s="63"/>
      <c r="AZ94" s="63"/>
      <c r="BE94" s="62"/>
      <c r="BT94" s="52"/>
      <c r="BU94" s="52"/>
      <c r="BV94" s="62"/>
      <c r="BW94" s="52"/>
    </row>
    <row r="95" spans="1:75" s="33" customFormat="1">
      <c r="A95" s="33" t="s">
        <v>170</v>
      </c>
      <c r="B95" s="33" t="s">
        <v>84</v>
      </c>
      <c r="C95" s="62"/>
      <c r="D95" s="52">
        <v>-0.25089600000000001</v>
      </c>
      <c r="E95" s="52">
        <v>-2.8091870000000001</v>
      </c>
      <c r="F95" s="52">
        <v>4.8461540000000003</v>
      </c>
      <c r="G95" s="52"/>
      <c r="H95" s="52"/>
      <c r="I95" s="52">
        <v>1.22549</v>
      </c>
      <c r="J95" s="52"/>
      <c r="K95" s="52">
        <v>-1.9015960000000001</v>
      </c>
      <c r="L95" s="52">
        <v>-2.077626</v>
      </c>
      <c r="M95" s="52">
        <v>5</v>
      </c>
      <c r="Q95" s="52"/>
      <c r="R95" s="52"/>
      <c r="S95" s="52"/>
      <c r="T95" s="52"/>
      <c r="U95" s="52"/>
      <c r="V95" s="52"/>
      <c r="AV95" s="63"/>
      <c r="AW95" s="63"/>
      <c r="AY95" s="63"/>
      <c r="AZ95" s="63"/>
      <c r="BE95" s="62"/>
      <c r="BT95" s="52"/>
      <c r="BU95" s="52"/>
      <c r="BV95" s="62"/>
      <c r="BW95" s="52"/>
    </row>
    <row r="96" spans="1:75" s="33" customFormat="1">
      <c r="A96" s="33" t="s">
        <v>171</v>
      </c>
      <c r="B96" s="33" t="s">
        <v>85</v>
      </c>
      <c r="C96" s="62"/>
      <c r="D96" s="52">
        <v>-5</v>
      </c>
      <c r="E96" s="52">
        <v>-2.8445230000000001</v>
      </c>
      <c r="F96" s="52">
        <v>0.38461499999999998</v>
      </c>
      <c r="G96" s="52"/>
      <c r="H96" s="52"/>
      <c r="I96" s="52">
        <v>0.58823499999999995</v>
      </c>
      <c r="J96" s="52"/>
      <c r="K96" s="52">
        <v>-1.1569149999999999</v>
      </c>
      <c r="L96" s="52">
        <v>-3.082192</v>
      </c>
      <c r="M96" s="52">
        <v>-5</v>
      </c>
      <c r="Q96" s="52"/>
      <c r="R96" s="52"/>
      <c r="S96" s="52"/>
      <c r="T96" s="52"/>
      <c r="U96" s="52"/>
      <c r="V96" s="52"/>
      <c r="AV96" s="63"/>
      <c r="AW96" s="63"/>
      <c r="AY96" s="63"/>
      <c r="AZ96" s="63"/>
      <c r="BE96" s="62"/>
      <c r="BT96" s="52"/>
      <c r="BU96" s="52"/>
      <c r="BV96" s="62"/>
      <c r="BW96" s="52"/>
    </row>
    <row r="97" spans="1:83" s="33" customFormat="1">
      <c r="A97" s="33" t="s">
        <v>172</v>
      </c>
      <c r="B97" s="33" t="s">
        <v>86</v>
      </c>
      <c r="C97" s="62"/>
      <c r="D97" s="52">
        <v>-2.7060930000000001</v>
      </c>
      <c r="E97" s="52">
        <v>-3.392226</v>
      </c>
      <c r="F97" s="52">
        <v>0.38461499999999998</v>
      </c>
      <c r="G97" s="52"/>
      <c r="H97" s="52"/>
      <c r="I97" s="52">
        <v>0.68627499999999997</v>
      </c>
      <c r="J97" s="52"/>
      <c r="K97" s="52">
        <v>-5.3191000000000002E-2</v>
      </c>
      <c r="L97" s="52">
        <v>-1.3127850000000001</v>
      </c>
      <c r="M97" s="52">
        <v>5</v>
      </c>
      <c r="Q97" s="52"/>
      <c r="R97" s="52"/>
      <c r="S97" s="52"/>
      <c r="T97" s="52"/>
      <c r="U97" s="52"/>
      <c r="V97" s="52"/>
      <c r="AV97" s="63"/>
      <c r="AW97" s="63"/>
      <c r="AY97" s="63"/>
      <c r="AZ97" s="63"/>
      <c r="BE97" s="62"/>
      <c r="BT97" s="52"/>
      <c r="BU97" s="52"/>
      <c r="BV97" s="62"/>
      <c r="BW97" s="52"/>
    </row>
    <row r="98" spans="1:83" s="33" customFormat="1">
      <c r="A98" s="33" t="s">
        <v>173</v>
      </c>
      <c r="B98" s="33" t="s">
        <v>87</v>
      </c>
      <c r="C98" s="62"/>
      <c r="D98" s="52">
        <v>4.2192689999999997</v>
      </c>
      <c r="E98" s="52">
        <v>-2.7915190000000001</v>
      </c>
      <c r="F98" s="52">
        <v>3.230769</v>
      </c>
      <c r="G98" s="52"/>
      <c r="H98" s="52"/>
      <c r="I98" s="52">
        <v>0.39215699999999998</v>
      </c>
      <c r="J98" s="52"/>
      <c r="K98" s="52">
        <v>2.8629030000000002</v>
      </c>
      <c r="L98" s="52">
        <v>0.19084000000000001</v>
      </c>
      <c r="M98" s="52">
        <v>5</v>
      </c>
      <c r="Q98" s="52"/>
      <c r="R98" s="52"/>
      <c r="S98" s="52"/>
      <c r="T98" s="52"/>
      <c r="U98" s="52"/>
      <c r="V98" s="52"/>
      <c r="AV98" s="63"/>
      <c r="AW98" s="63"/>
      <c r="AY98" s="63"/>
      <c r="AZ98" s="63"/>
      <c r="BE98" s="62"/>
      <c r="BT98" s="52"/>
      <c r="BU98" s="52"/>
      <c r="BV98" s="62"/>
      <c r="BW98" s="52"/>
    </row>
    <row r="99" spans="1:83" s="33" customFormat="1">
      <c r="A99" s="33" t="s">
        <v>174</v>
      </c>
      <c r="B99" s="33" t="s">
        <v>88</v>
      </c>
      <c r="C99" s="62"/>
      <c r="D99" s="52">
        <v>4.5681060000000002</v>
      </c>
      <c r="E99" s="52">
        <v>0.769231</v>
      </c>
      <c r="F99" s="52">
        <v>3.1538460000000001</v>
      </c>
      <c r="G99" s="52"/>
      <c r="H99" s="52"/>
      <c r="I99" s="52">
        <v>-0.81395300000000004</v>
      </c>
      <c r="J99" s="52"/>
      <c r="K99" s="52">
        <v>-0.54521299999999995</v>
      </c>
      <c r="L99" s="52">
        <v>0.45801500000000001</v>
      </c>
      <c r="M99" s="52">
        <v>-0.36585400000000001</v>
      </c>
      <c r="Q99" s="52"/>
      <c r="R99" s="52"/>
      <c r="S99" s="52"/>
      <c r="T99" s="52"/>
      <c r="U99" s="52"/>
      <c r="V99" s="52"/>
      <c r="AV99" s="63"/>
      <c r="AW99" s="63"/>
      <c r="AY99" s="63"/>
      <c r="AZ99" s="63"/>
      <c r="BE99" s="62"/>
      <c r="BT99" s="52"/>
      <c r="BU99" s="52"/>
      <c r="BV99" s="62"/>
      <c r="BW99" s="52"/>
    </row>
    <row r="100" spans="1:83" s="33" customFormat="1">
      <c r="A100" s="33" t="s">
        <v>175</v>
      </c>
      <c r="B100" s="33" t="s">
        <v>89</v>
      </c>
      <c r="C100" s="62"/>
      <c r="D100" s="52">
        <v>3.9534880000000001</v>
      </c>
      <c r="E100" s="52">
        <v>-0.77738499999999999</v>
      </c>
      <c r="F100" s="52">
        <v>-0.46875</v>
      </c>
      <c r="G100" s="52"/>
      <c r="H100" s="52"/>
      <c r="I100" s="52">
        <v>0.49019600000000002</v>
      </c>
      <c r="J100" s="52"/>
      <c r="K100" s="52">
        <v>4.1935479999999998</v>
      </c>
      <c r="L100" s="52">
        <v>1.851145</v>
      </c>
      <c r="M100" s="52">
        <v>0.83333299999999999</v>
      </c>
      <c r="Q100" s="52"/>
      <c r="R100" s="52"/>
      <c r="S100" s="52"/>
      <c r="T100" s="52"/>
      <c r="U100" s="52"/>
      <c r="V100" s="52"/>
      <c r="AV100" s="63"/>
      <c r="AW100" s="63"/>
      <c r="AY100" s="63"/>
      <c r="AZ100" s="63"/>
      <c r="BE100" s="62"/>
      <c r="BT100" s="52"/>
      <c r="BU100" s="52"/>
      <c r="BV100" s="62"/>
      <c r="BW100" s="52"/>
    </row>
    <row r="101" spans="1:83" s="33" customFormat="1">
      <c r="A101" s="33" t="s">
        <v>176</v>
      </c>
      <c r="B101" s="33" t="s">
        <v>90</v>
      </c>
      <c r="C101" s="62"/>
      <c r="D101" s="52">
        <v>1.9269099999999999</v>
      </c>
      <c r="E101" s="52">
        <v>-0.37102499999999999</v>
      </c>
      <c r="F101" s="52">
        <v>-0.82589299999999999</v>
      </c>
      <c r="G101" s="52"/>
      <c r="H101" s="52"/>
      <c r="I101" s="52">
        <v>-2.7906979999999999</v>
      </c>
      <c r="J101" s="52"/>
      <c r="K101" s="52">
        <v>1.25</v>
      </c>
      <c r="L101" s="52">
        <v>0.572519</v>
      </c>
      <c r="M101" s="52">
        <v>1.6666669999999999</v>
      </c>
      <c r="Q101" s="52"/>
      <c r="R101" s="52"/>
      <c r="S101" s="52"/>
      <c r="T101" s="52"/>
      <c r="U101" s="52"/>
      <c r="V101" s="52"/>
      <c r="AV101" s="63"/>
      <c r="AW101" s="63"/>
      <c r="AY101" s="63"/>
      <c r="AZ101" s="63"/>
      <c r="BE101" s="62"/>
      <c r="BT101" s="52"/>
      <c r="BU101" s="52"/>
      <c r="BV101" s="62"/>
      <c r="BW101" s="52"/>
    </row>
    <row r="102" spans="1:83" s="33" customFormat="1">
      <c r="A102" s="33" t="s">
        <v>177</v>
      </c>
      <c r="B102" s="33" t="s">
        <v>91</v>
      </c>
      <c r="C102" s="62"/>
      <c r="D102" s="52">
        <v>4.850498</v>
      </c>
      <c r="E102" s="52">
        <v>-2.3321550000000002</v>
      </c>
      <c r="F102" s="52">
        <v>-0.46875</v>
      </c>
      <c r="G102" s="52"/>
      <c r="H102" s="52"/>
      <c r="I102" s="52">
        <v>1.372549</v>
      </c>
      <c r="J102" s="52"/>
      <c r="K102" s="52">
        <v>0.76612899999999995</v>
      </c>
      <c r="L102" s="52">
        <v>-1.826484</v>
      </c>
      <c r="M102" s="52">
        <v>5</v>
      </c>
      <c r="Q102" s="52"/>
      <c r="R102" s="52"/>
      <c r="S102" s="52"/>
      <c r="T102" s="52"/>
      <c r="U102" s="52"/>
      <c r="V102" s="52"/>
      <c r="AV102" s="63"/>
      <c r="AW102" s="63"/>
      <c r="AY102" s="63"/>
      <c r="AZ102" s="63"/>
      <c r="BE102" s="62"/>
      <c r="BT102" s="52"/>
      <c r="BU102" s="52"/>
      <c r="BV102" s="62"/>
      <c r="BW102" s="52"/>
    </row>
    <row r="103" spans="1:83" s="33" customFormat="1">
      <c r="A103" s="33" t="s">
        <v>178</v>
      </c>
      <c r="B103" s="33" t="s">
        <v>92</v>
      </c>
      <c r="C103" s="62"/>
      <c r="D103" s="52">
        <v>2.9900329999999999</v>
      </c>
      <c r="E103" s="52">
        <v>0.65384600000000004</v>
      </c>
      <c r="F103" s="52">
        <v>2.538462</v>
      </c>
      <c r="G103" s="52"/>
      <c r="H103" s="52"/>
      <c r="I103" s="52">
        <v>0.196078</v>
      </c>
      <c r="J103" s="52"/>
      <c r="K103" s="52">
        <v>-3.9893999999999999E-2</v>
      </c>
      <c r="L103" s="52">
        <v>1.10687</v>
      </c>
      <c r="M103" s="52">
        <v>5</v>
      </c>
      <c r="Q103" s="52"/>
      <c r="R103" s="52"/>
      <c r="S103" s="52"/>
      <c r="T103" s="52"/>
      <c r="U103" s="52"/>
      <c r="V103" s="52"/>
      <c r="AV103" s="63"/>
      <c r="AW103" s="63"/>
      <c r="AY103" s="63"/>
      <c r="AZ103" s="63"/>
      <c r="BE103" s="62"/>
      <c r="BT103" s="52"/>
      <c r="BU103" s="52"/>
      <c r="BV103" s="62"/>
      <c r="BW103" s="52"/>
    </row>
    <row r="104" spans="1:83" s="33" customFormat="1">
      <c r="A104" s="33" t="s">
        <v>179</v>
      </c>
      <c r="B104" s="33" t="s">
        <v>93</v>
      </c>
      <c r="C104" s="62"/>
      <c r="D104" s="52">
        <v>-3.620072</v>
      </c>
      <c r="E104" s="52">
        <v>-2.6325090000000002</v>
      </c>
      <c r="F104" s="52">
        <v>-0.60267899999999996</v>
      </c>
      <c r="G104" s="52"/>
      <c r="H104" s="52"/>
      <c r="I104" s="52">
        <v>0.83333299999999999</v>
      </c>
      <c r="J104" s="52"/>
      <c r="K104" s="52">
        <v>-0.30585099999999998</v>
      </c>
      <c r="L104" s="52">
        <v>-2.4086759999999998</v>
      </c>
      <c r="M104" s="52">
        <v>5</v>
      </c>
      <c r="Q104" s="52"/>
      <c r="R104" s="52"/>
      <c r="S104" s="52"/>
      <c r="T104" s="52"/>
      <c r="U104" s="52"/>
      <c r="V104" s="52"/>
      <c r="AV104" s="63"/>
      <c r="AW104" s="63"/>
      <c r="AY104" s="63"/>
      <c r="AZ104" s="63"/>
      <c r="BE104" s="62"/>
      <c r="BT104" s="52"/>
      <c r="BU104" s="52"/>
      <c r="BV104" s="62"/>
      <c r="BW104" s="52"/>
    </row>
    <row r="105" spans="1:83" s="33" customFormat="1">
      <c r="A105" s="33" t="s">
        <v>180</v>
      </c>
      <c r="B105" s="33" t="s">
        <v>94</v>
      </c>
      <c r="C105" s="62"/>
      <c r="D105" s="52">
        <v>-2.2132619999999998</v>
      </c>
      <c r="E105" s="52">
        <v>-1.749117</v>
      </c>
      <c r="F105" s="52">
        <v>-2.745536</v>
      </c>
      <c r="G105" s="52"/>
      <c r="H105" s="52"/>
      <c r="I105" s="52">
        <v>0.29411799999999999</v>
      </c>
      <c r="J105" s="52"/>
      <c r="K105" s="52">
        <v>-1.7952129999999999</v>
      </c>
      <c r="L105" s="52">
        <v>-0.57077599999999995</v>
      </c>
      <c r="M105" s="52">
        <v>5</v>
      </c>
      <c r="Q105" s="52"/>
      <c r="R105" s="52"/>
      <c r="S105" s="52"/>
      <c r="T105" s="52"/>
      <c r="U105" s="52"/>
      <c r="V105" s="52"/>
      <c r="AV105" s="63"/>
      <c r="AW105" s="63"/>
      <c r="AY105" s="63"/>
      <c r="AZ105" s="63"/>
      <c r="BE105" s="62"/>
      <c r="BT105" s="52"/>
      <c r="BU105" s="52"/>
      <c r="BV105" s="62"/>
      <c r="BW105" s="52"/>
    </row>
    <row r="106" spans="1:83" s="33" customFormat="1">
      <c r="A106" s="33" t="s">
        <v>181</v>
      </c>
      <c r="B106" s="33" t="s">
        <v>95</v>
      </c>
      <c r="C106" s="62"/>
      <c r="D106" s="52">
        <v>4.5016610000000004</v>
      </c>
      <c r="E106" s="52">
        <v>0.38461499999999998</v>
      </c>
      <c r="F106" s="52">
        <v>2.1538460000000001</v>
      </c>
      <c r="G106" s="52"/>
      <c r="H106" s="52"/>
      <c r="I106" s="52">
        <v>-1.395349</v>
      </c>
      <c r="J106" s="52"/>
      <c r="K106" s="52">
        <v>0.64516099999999998</v>
      </c>
      <c r="L106" s="52">
        <v>0.74427500000000002</v>
      </c>
      <c r="M106" s="52">
        <v>2.5</v>
      </c>
      <c r="Q106" s="52"/>
      <c r="R106" s="52"/>
      <c r="S106" s="52"/>
      <c r="T106" s="52"/>
      <c r="U106" s="52"/>
      <c r="V106" s="52"/>
      <c r="AV106" s="63"/>
      <c r="AW106" s="63"/>
      <c r="AY106" s="63"/>
      <c r="AZ106" s="63"/>
      <c r="BE106" s="62"/>
      <c r="BT106" s="52"/>
      <c r="BU106" s="52"/>
      <c r="BV106" s="62"/>
      <c r="BW106" s="52"/>
    </row>
    <row r="107" spans="1:83" s="33" customFormat="1">
      <c r="A107" s="33" t="s">
        <v>182</v>
      </c>
      <c r="B107" s="33" t="s">
        <v>96</v>
      </c>
      <c r="C107" s="62"/>
      <c r="D107" s="52">
        <v>4.9335550000000001</v>
      </c>
      <c r="E107" s="52">
        <v>2.5</v>
      </c>
      <c r="F107" s="52">
        <v>3.9230770000000001</v>
      </c>
      <c r="G107" s="52"/>
      <c r="H107" s="52"/>
      <c r="I107" s="52">
        <v>0.196078</v>
      </c>
      <c r="J107" s="52"/>
      <c r="K107" s="52">
        <v>-3.9893999999999999E-2</v>
      </c>
      <c r="L107" s="52">
        <v>1.641221</v>
      </c>
      <c r="M107" s="52">
        <v>-0.30487799999999998</v>
      </c>
      <c r="Q107" s="52"/>
      <c r="R107" s="52"/>
      <c r="S107" s="52"/>
      <c r="T107" s="52"/>
      <c r="U107" s="52"/>
      <c r="V107" s="52"/>
      <c r="AV107" s="63"/>
      <c r="AW107" s="63"/>
      <c r="AY107" s="63"/>
      <c r="AZ107" s="63"/>
      <c r="BE107" s="62"/>
      <c r="BT107" s="52"/>
      <c r="BU107" s="52"/>
      <c r="BV107" s="62"/>
      <c r="BW107" s="52"/>
    </row>
    <row r="108" spans="1:83" s="33" customFormat="1">
      <c r="A108" s="33" t="s">
        <v>183</v>
      </c>
      <c r="B108" s="33" t="s">
        <v>97</v>
      </c>
      <c r="C108" s="62"/>
      <c r="D108" s="52">
        <v>3.8039869999999998</v>
      </c>
      <c r="E108" s="52">
        <v>-1.2190810000000001</v>
      </c>
      <c r="F108" s="52">
        <v>-0.87053599999999998</v>
      </c>
      <c r="G108" s="52"/>
      <c r="H108" s="52"/>
      <c r="I108" s="52">
        <v>-3.255814</v>
      </c>
      <c r="J108" s="52"/>
      <c r="K108" s="52">
        <v>-0.97074499999999997</v>
      </c>
      <c r="L108" s="52">
        <v>0.40076299999999998</v>
      </c>
      <c r="M108" s="52">
        <v>5</v>
      </c>
      <c r="Q108" s="52"/>
      <c r="R108" s="52"/>
      <c r="S108" s="52"/>
      <c r="T108" s="52"/>
      <c r="U108" s="52"/>
      <c r="V108" s="52"/>
      <c r="AV108" s="63"/>
      <c r="AW108" s="63"/>
      <c r="AY108" s="63"/>
      <c r="AZ108" s="63"/>
      <c r="BE108" s="62"/>
      <c r="BT108" s="52"/>
      <c r="BU108" s="52"/>
      <c r="BV108" s="62"/>
      <c r="BW108" s="52"/>
    </row>
    <row r="109" spans="1:83" s="33" customFormat="1">
      <c r="A109" s="33" t="s">
        <v>184</v>
      </c>
      <c r="B109" s="33" t="s">
        <v>98</v>
      </c>
      <c r="C109" s="62"/>
      <c r="D109" s="52">
        <v>4.3355480000000002</v>
      </c>
      <c r="E109" s="52">
        <v>1.820513</v>
      </c>
      <c r="F109" s="52">
        <v>3.8461539999999999</v>
      </c>
      <c r="G109" s="52"/>
      <c r="H109" s="52"/>
      <c r="I109" s="52">
        <v>-3.488372</v>
      </c>
      <c r="J109" s="52"/>
      <c r="K109" s="52">
        <v>3.0645159999999998</v>
      </c>
      <c r="L109" s="52">
        <v>4.3511449999999998</v>
      </c>
      <c r="M109" s="52">
        <v>5</v>
      </c>
      <c r="Q109" s="52"/>
      <c r="R109" s="52"/>
      <c r="S109" s="52"/>
      <c r="T109" s="52"/>
      <c r="U109" s="52"/>
      <c r="V109" s="52"/>
      <c r="AV109" s="63"/>
      <c r="AW109" s="63"/>
      <c r="AY109" s="63"/>
      <c r="AZ109" s="63"/>
      <c r="BE109" s="62"/>
      <c r="BT109" s="52"/>
      <c r="BU109" s="52"/>
      <c r="BV109" s="62"/>
      <c r="BW109" s="52"/>
    </row>
    <row r="110" spans="1:83" s="33" customFormat="1">
      <c r="A110" s="33" t="s">
        <v>185</v>
      </c>
      <c r="B110" s="33" t="s">
        <v>99</v>
      </c>
      <c r="C110" s="62"/>
      <c r="D110" s="52">
        <v>1.993355</v>
      </c>
      <c r="E110" s="52">
        <v>0.82051300000000005</v>
      </c>
      <c r="F110" s="52">
        <v>1.538462</v>
      </c>
      <c r="G110" s="52"/>
      <c r="H110" s="52"/>
      <c r="I110" s="52">
        <v>-1.511628</v>
      </c>
      <c r="J110" s="52"/>
      <c r="K110" s="52">
        <v>0.84677400000000003</v>
      </c>
      <c r="L110" s="52">
        <v>-0.98173500000000002</v>
      </c>
      <c r="M110" s="52">
        <v>1.25</v>
      </c>
      <c r="Q110" s="52"/>
      <c r="R110" s="52"/>
      <c r="S110" s="52"/>
      <c r="T110" s="52"/>
      <c r="U110" s="52"/>
      <c r="V110" s="52"/>
      <c r="AV110" s="63"/>
      <c r="AW110" s="63"/>
      <c r="AY110" s="63"/>
      <c r="AZ110" s="63"/>
      <c r="BE110" s="62"/>
      <c r="BT110" s="52"/>
      <c r="BU110" s="52"/>
      <c r="BV110" s="62"/>
      <c r="BW110" s="52"/>
    </row>
    <row r="111" spans="1:83" s="33" customFormat="1">
      <c r="A111" s="33" t="s">
        <v>241</v>
      </c>
      <c r="B111" s="33" t="s">
        <v>242</v>
      </c>
      <c r="D111" s="52">
        <v>4.1029900000000001</v>
      </c>
      <c r="E111" s="52">
        <v>-1.30742</v>
      </c>
      <c r="F111" s="52">
        <v>0.61538499999999996</v>
      </c>
      <c r="G111" s="52"/>
      <c r="H111" s="52"/>
      <c r="I111" s="52">
        <v>-2.7906979999999999</v>
      </c>
      <c r="J111" s="52"/>
      <c r="K111" s="52">
        <v>-0.15957399999999999</v>
      </c>
      <c r="L111" s="52">
        <v>0</v>
      </c>
      <c r="M111" s="52">
        <v>1.25</v>
      </c>
      <c r="Q111" s="52"/>
      <c r="R111" s="52"/>
      <c r="S111" s="52"/>
      <c r="T111" s="52"/>
      <c r="U111" s="52"/>
      <c r="V111" s="52"/>
      <c r="AV111" s="63"/>
      <c r="AW111" s="63"/>
      <c r="AY111" s="63"/>
      <c r="AZ111" s="63"/>
      <c r="BE111" s="62"/>
      <c r="BT111" s="52"/>
      <c r="BU111" s="52"/>
      <c r="BV111" s="62"/>
      <c r="BW111" s="52"/>
    </row>
    <row r="112" spans="1:83" s="43" customFormat="1">
      <c r="F112" s="44"/>
      <c r="G112" s="44"/>
      <c r="H112" s="44"/>
      <c r="I112" s="44"/>
      <c r="J112" s="44"/>
      <c r="K112" s="44"/>
      <c r="L112" s="44"/>
      <c r="M112" s="44"/>
      <c r="N112" s="44"/>
      <c r="AV112" s="46"/>
      <c r="AW112" s="46"/>
      <c r="AY112" s="46"/>
      <c r="AZ112" s="46"/>
      <c r="BE112" s="44"/>
      <c r="BZ112" s="54"/>
      <c r="CA112" s="54"/>
      <c r="CB112" s="54"/>
      <c r="CC112" s="54"/>
      <c r="CD112" s="54"/>
      <c r="CE112" s="54"/>
    </row>
    <row r="113" spans="6:83" s="43" customFormat="1">
      <c r="F113" s="44"/>
      <c r="G113" s="44"/>
      <c r="H113" s="44"/>
      <c r="I113" s="44"/>
      <c r="J113" s="44"/>
      <c r="K113" s="44"/>
      <c r="L113" s="44"/>
      <c r="M113" s="44"/>
      <c r="N113" s="44"/>
      <c r="AV113" s="46"/>
      <c r="AW113" s="46"/>
      <c r="AY113" s="46"/>
      <c r="AZ113" s="46"/>
      <c r="BE113" s="44"/>
      <c r="BZ113" s="54"/>
      <c r="CA113" s="54"/>
      <c r="CB113" s="54"/>
      <c r="CC113" s="54"/>
      <c r="CD113" s="54"/>
      <c r="CE113" s="54"/>
    </row>
    <row r="114" spans="6:83" s="43" customFormat="1">
      <c r="AV114" s="46"/>
      <c r="AW114" s="46"/>
      <c r="AY114" s="46"/>
      <c r="AZ114" s="46"/>
      <c r="BE114" s="44"/>
      <c r="BZ114" s="54"/>
      <c r="CA114" s="54"/>
      <c r="CB114" s="54"/>
      <c r="CC114" s="54"/>
      <c r="CD114" s="54"/>
      <c r="CE114" s="54"/>
    </row>
    <row r="115" spans="6:83" s="43" customFormat="1">
      <c r="AV115" s="46"/>
      <c r="AW115" s="46"/>
      <c r="AY115" s="46"/>
      <c r="AZ115" s="46"/>
      <c r="BE115" s="44"/>
      <c r="BZ115" s="54"/>
      <c r="CA115" s="54"/>
      <c r="CB115" s="54"/>
      <c r="CC115" s="54"/>
      <c r="CD115" s="54"/>
      <c r="CE115" s="54"/>
    </row>
    <row r="116" spans="6:83" s="43" customFormat="1">
      <c r="AV116" s="46"/>
      <c r="AW116" s="46"/>
      <c r="AY116" s="46"/>
      <c r="AZ116" s="46"/>
      <c r="BE116" s="44"/>
      <c r="BZ116" s="54"/>
      <c r="CA116" s="54"/>
      <c r="CB116" s="54"/>
      <c r="CC116" s="54"/>
      <c r="CD116" s="54"/>
      <c r="CE116" s="54"/>
    </row>
    <row r="117" spans="6:83" s="43" customFormat="1">
      <c r="N117" s="44"/>
      <c r="O117" s="47"/>
      <c r="P117" s="45"/>
      <c r="W117" s="44"/>
      <c r="AE117" s="45"/>
      <c r="AV117" s="46"/>
      <c r="AW117" s="46"/>
      <c r="AY117" s="46"/>
      <c r="AZ117" s="46"/>
      <c r="BE117" s="44"/>
      <c r="BZ117" s="54"/>
      <c r="CA117" s="54"/>
      <c r="CB117" s="54"/>
      <c r="CC117" s="54"/>
      <c r="CD117" s="54"/>
      <c r="CE117" s="54"/>
    </row>
    <row r="118" spans="6:83" s="43" customFormat="1">
      <c r="N118" s="44"/>
      <c r="O118" s="47"/>
      <c r="P118" s="45"/>
      <c r="W118" s="44"/>
      <c r="AE118" s="45"/>
      <c r="AV118" s="46"/>
      <c r="AW118" s="46"/>
      <c r="AY118" s="46"/>
      <c r="AZ118" s="46"/>
      <c r="BE118" s="44"/>
      <c r="BZ118" s="54"/>
      <c r="CA118" s="54"/>
      <c r="CB118" s="54"/>
      <c r="CC118" s="54"/>
      <c r="CD118" s="54"/>
      <c r="CE118" s="54"/>
    </row>
    <row r="119" spans="6:83" s="43" customFormat="1">
      <c r="N119" s="44"/>
      <c r="O119" s="47"/>
      <c r="P119" s="45"/>
      <c r="W119" s="44"/>
      <c r="AE119" s="45"/>
      <c r="AV119" s="46"/>
      <c r="AW119" s="46"/>
      <c r="AY119" s="46"/>
      <c r="AZ119" s="46"/>
      <c r="BE119" s="44"/>
      <c r="BZ119" s="54"/>
      <c r="CA119" s="54"/>
      <c r="CB119" s="54"/>
      <c r="CC119" s="54"/>
      <c r="CD119" s="54"/>
      <c r="CE119" s="54"/>
    </row>
    <row r="120" spans="6:83" s="43" customFormat="1">
      <c r="N120" s="44"/>
      <c r="O120" s="47"/>
      <c r="P120" s="45"/>
      <c r="W120" s="44"/>
      <c r="AE120" s="45"/>
      <c r="AV120" s="46"/>
      <c r="AW120" s="46"/>
      <c r="AY120" s="46"/>
      <c r="AZ120" s="46"/>
      <c r="BE120" s="44"/>
      <c r="BZ120" s="54"/>
      <c r="CA120" s="54"/>
      <c r="CB120" s="54"/>
      <c r="CC120" s="54"/>
      <c r="CD120" s="54"/>
      <c r="CE120" s="54"/>
    </row>
    <row r="121" spans="6:83" s="43" customFormat="1">
      <c r="N121" s="44"/>
      <c r="O121" s="47"/>
      <c r="P121" s="45"/>
      <c r="W121" s="44"/>
      <c r="AE121" s="45"/>
      <c r="AV121" s="46"/>
      <c r="AW121" s="46"/>
      <c r="AY121" s="46"/>
      <c r="AZ121" s="46"/>
      <c r="BE121" s="44"/>
      <c r="BZ121" s="54"/>
      <c r="CA121" s="54"/>
      <c r="CB121" s="54"/>
      <c r="CC121" s="54"/>
      <c r="CD121" s="54"/>
      <c r="CE121" s="54"/>
    </row>
    <row r="122" spans="6:83" s="43" customFormat="1">
      <c r="N122" s="44"/>
      <c r="O122" s="47"/>
      <c r="P122" s="45"/>
      <c r="W122" s="44"/>
      <c r="AE122" s="45"/>
      <c r="AV122" s="46"/>
      <c r="AW122" s="46"/>
      <c r="AY122" s="46"/>
      <c r="AZ122" s="46"/>
      <c r="BE122" s="44"/>
      <c r="BZ122" s="54"/>
      <c r="CA122" s="54"/>
      <c r="CB122" s="54"/>
      <c r="CC122" s="54"/>
      <c r="CD122" s="54"/>
      <c r="CE122" s="54"/>
    </row>
    <row r="123" spans="6:83" s="43" customFormat="1">
      <c r="N123" s="44"/>
      <c r="O123" s="47"/>
      <c r="P123" s="45"/>
      <c r="W123" s="44"/>
      <c r="AE123" s="45"/>
      <c r="AV123" s="46"/>
      <c r="AW123" s="46"/>
      <c r="AY123" s="46"/>
      <c r="AZ123" s="46"/>
      <c r="BE123" s="44"/>
      <c r="BZ123" s="54"/>
      <c r="CA123" s="54"/>
      <c r="CB123" s="54"/>
      <c r="CC123" s="54"/>
      <c r="CD123" s="54"/>
      <c r="CE123" s="54"/>
    </row>
    <row r="124" spans="6:83" s="43" customFormat="1">
      <c r="N124" s="44"/>
      <c r="O124" s="47"/>
      <c r="P124" s="45"/>
      <c r="W124" s="44"/>
      <c r="AE124" s="45"/>
      <c r="AV124" s="46"/>
      <c r="AW124" s="46"/>
      <c r="AY124" s="46"/>
      <c r="AZ124" s="46"/>
      <c r="BE124" s="44"/>
      <c r="BZ124" s="54"/>
      <c r="CA124" s="54"/>
      <c r="CB124" s="54"/>
      <c r="CC124" s="54"/>
      <c r="CD124" s="54"/>
      <c r="CE124" s="54"/>
    </row>
    <row r="125" spans="6:83" s="43" customFormat="1">
      <c r="N125" s="44"/>
      <c r="O125" s="47"/>
      <c r="P125" s="45"/>
      <c r="W125" s="44"/>
      <c r="AE125" s="45"/>
      <c r="AV125" s="46"/>
      <c r="AW125" s="46"/>
      <c r="AY125" s="46"/>
      <c r="AZ125" s="46"/>
      <c r="BE125" s="44"/>
      <c r="BZ125" s="54"/>
      <c r="CA125" s="54"/>
      <c r="CB125" s="54"/>
      <c r="CC125" s="54"/>
      <c r="CD125" s="54"/>
      <c r="CE125" s="54"/>
    </row>
    <row r="126" spans="6:83" s="43" customFormat="1">
      <c r="N126" s="44"/>
      <c r="O126" s="47"/>
      <c r="P126" s="45"/>
      <c r="W126" s="44"/>
      <c r="AE126" s="45"/>
      <c r="AV126" s="46"/>
      <c r="AW126" s="46"/>
      <c r="AY126" s="46"/>
      <c r="AZ126" s="46"/>
      <c r="BE126" s="44"/>
      <c r="BZ126" s="54"/>
      <c r="CA126" s="54"/>
      <c r="CB126" s="54"/>
      <c r="CC126" s="54"/>
      <c r="CD126" s="54"/>
      <c r="CE126" s="54"/>
    </row>
    <row r="127" spans="6:83" s="43" customFormat="1">
      <c r="N127" s="44"/>
      <c r="O127" s="47"/>
      <c r="P127" s="45"/>
      <c r="W127" s="44"/>
      <c r="AE127" s="45"/>
      <c r="AV127" s="46"/>
      <c r="AW127" s="46"/>
      <c r="AY127" s="46"/>
      <c r="AZ127" s="46"/>
      <c r="BE127" s="44"/>
      <c r="BZ127" s="54"/>
      <c r="CA127" s="54"/>
      <c r="CB127" s="54"/>
      <c r="CC127" s="54"/>
      <c r="CD127" s="54"/>
      <c r="CE127" s="54"/>
    </row>
    <row r="128" spans="6:83" s="43" customFormat="1">
      <c r="N128" s="44"/>
      <c r="O128" s="47"/>
      <c r="P128" s="45"/>
      <c r="W128" s="44"/>
      <c r="AE128" s="45"/>
      <c r="AV128" s="46"/>
      <c r="AW128" s="46"/>
      <c r="AY128" s="46"/>
      <c r="AZ128" s="46"/>
      <c r="BE128" s="44"/>
      <c r="BZ128" s="54"/>
      <c r="CA128" s="54"/>
      <c r="CB128" s="54"/>
      <c r="CC128" s="54"/>
      <c r="CD128" s="54"/>
      <c r="CE128" s="54"/>
    </row>
    <row r="129" spans="14:83" s="43" customFormat="1">
      <c r="N129" s="44"/>
      <c r="O129" s="47"/>
      <c r="P129" s="45"/>
      <c r="W129" s="44"/>
      <c r="AE129" s="45"/>
      <c r="AV129" s="46"/>
      <c r="AW129" s="46"/>
      <c r="AY129" s="46"/>
      <c r="AZ129" s="46"/>
      <c r="BE129" s="44"/>
      <c r="BZ129" s="54"/>
      <c r="CA129" s="54"/>
      <c r="CB129" s="54"/>
      <c r="CC129" s="54"/>
      <c r="CD129" s="54"/>
      <c r="CE129" s="54"/>
    </row>
    <row r="130" spans="14:83" s="43" customFormat="1">
      <c r="N130" s="44"/>
      <c r="O130" s="47"/>
      <c r="P130" s="45"/>
      <c r="W130" s="44"/>
      <c r="AE130" s="45"/>
      <c r="AV130" s="46"/>
      <c r="AW130" s="46"/>
      <c r="AY130" s="46"/>
      <c r="AZ130" s="46"/>
      <c r="BE130" s="44"/>
      <c r="BZ130" s="54"/>
      <c r="CA130" s="54"/>
      <c r="CB130" s="54"/>
      <c r="CC130" s="54"/>
      <c r="CD130" s="54"/>
      <c r="CE130" s="54"/>
    </row>
    <row r="131" spans="14:83" s="43" customFormat="1">
      <c r="N131" s="44"/>
      <c r="O131" s="47"/>
      <c r="P131" s="45"/>
      <c r="W131" s="44"/>
      <c r="AE131" s="45"/>
      <c r="AV131" s="46"/>
      <c r="AW131" s="46"/>
      <c r="AY131" s="46"/>
      <c r="AZ131" s="46"/>
      <c r="BE131" s="44"/>
      <c r="BZ131" s="54"/>
      <c r="CA131" s="54"/>
      <c r="CB131" s="54"/>
      <c r="CC131" s="54"/>
      <c r="CD131" s="54"/>
      <c r="CE131" s="54"/>
    </row>
    <row r="132" spans="14:83" s="43" customFormat="1">
      <c r="N132" s="44"/>
      <c r="O132" s="47"/>
      <c r="P132" s="45"/>
      <c r="W132" s="44"/>
      <c r="AE132" s="45"/>
      <c r="AV132" s="46"/>
      <c r="AW132" s="46"/>
      <c r="AY132" s="46"/>
      <c r="AZ132" s="46"/>
      <c r="BE132" s="44"/>
      <c r="BZ132" s="54"/>
      <c r="CA132" s="54"/>
      <c r="CB132" s="54"/>
      <c r="CC132" s="54"/>
      <c r="CD132" s="54"/>
      <c r="CE132" s="54"/>
    </row>
    <row r="133" spans="14:83" s="43" customFormat="1">
      <c r="N133" s="44"/>
      <c r="O133" s="47"/>
      <c r="P133" s="45"/>
      <c r="W133" s="44"/>
      <c r="AE133" s="45"/>
      <c r="AV133" s="46"/>
      <c r="AW133" s="46"/>
      <c r="AY133" s="46"/>
      <c r="AZ133" s="46"/>
      <c r="BE133" s="44"/>
      <c r="BZ133" s="54"/>
      <c r="CA133" s="54"/>
      <c r="CB133" s="54"/>
      <c r="CC133" s="54"/>
      <c r="CD133" s="54"/>
      <c r="CE133" s="54"/>
    </row>
    <row r="134" spans="14:83" s="43" customFormat="1">
      <c r="N134" s="44"/>
      <c r="O134" s="47"/>
      <c r="P134" s="45"/>
      <c r="W134" s="44"/>
      <c r="AE134" s="45"/>
      <c r="AV134" s="46"/>
      <c r="AW134" s="46"/>
      <c r="AY134" s="46"/>
      <c r="AZ134" s="46"/>
      <c r="BE134" s="44"/>
      <c r="BZ134" s="54"/>
      <c r="CA134" s="54"/>
      <c r="CB134" s="54"/>
      <c r="CC134" s="54"/>
      <c r="CD134" s="54"/>
      <c r="CE134" s="54"/>
    </row>
    <row r="135" spans="14:83" s="43" customFormat="1">
      <c r="N135" s="44"/>
      <c r="O135" s="47"/>
      <c r="P135" s="45"/>
      <c r="W135" s="44"/>
      <c r="AE135" s="45"/>
      <c r="AV135" s="46"/>
      <c r="AW135" s="46"/>
      <c r="AY135" s="46"/>
      <c r="AZ135" s="46"/>
      <c r="BE135" s="44"/>
      <c r="BZ135" s="54"/>
      <c r="CA135" s="54"/>
      <c r="CB135" s="54"/>
      <c r="CC135" s="54"/>
      <c r="CD135" s="54"/>
      <c r="CE135" s="54"/>
    </row>
    <row r="136" spans="14:83" s="43" customFormat="1">
      <c r="N136" s="44"/>
      <c r="O136" s="47"/>
      <c r="P136" s="45"/>
      <c r="W136" s="44"/>
      <c r="AE136" s="45"/>
      <c r="AV136" s="46"/>
      <c r="AW136" s="46"/>
      <c r="AY136" s="46"/>
      <c r="AZ136" s="46"/>
      <c r="BE136" s="44"/>
      <c r="BZ136" s="54"/>
      <c r="CA136" s="54"/>
      <c r="CB136" s="54"/>
      <c r="CC136" s="54"/>
      <c r="CD136" s="54"/>
      <c r="CE136" s="54"/>
    </row>
    <row r="137" spans="14:83" s="43" customFormat="1">
      <c r="N137" s="44"/>
      <c r="O137" s="47"/>
      <c r="P137" s="45"/>
      <c r="W137" s="44"/>
      <c r="AE137" s="45"/>
      <c r="AV137" s="46"/>
      <c r="AW137" s="46"/>
      <c r="AY137" s="46"/>
      <c r="AZ137" s="46"/>
      <c r="BE137" s="44"/>
      <c r="BZ137" s="54"/>
      <c r="CA137" s="54"/>
      <c r="CB137" s="54"/>
      <c r="CC137" s="54"/>
      <c r="CD137" s="54"/>
      <c r="CE137" s="54"/>
    </row>
    <row r="138" spans="14:83" s="43" customFormat="1">
      <c r="N138" s="44"/>
      <c r="O138" s="47"/>
      <c r="P138" s="45"/>
      <c r="W138" s="44"/>
      <c r="AE138" s="45"/>
      <c r="AV138" s="46"/>
      <c r="AW138" s="46"/>
      <c r="AY138" s="46"/>
      <c r="AZ138" s="46"/>
      <c r="BE138" s="44"/>
      <c r="BZ138" s="54"/>
      <c r="CA138" s="54"/>
      <c r="CB138" s="54"/>
      <c r="CC138" s="54"/>
      <c r="CD138" s="54"/>
      <c r="CE138" s="54"/>
    </row>
    <row r="139" spans="14:83" s="43" customFormat="1">
      <c r="N139" s="44"/>
      <c r="O139" s="47"/>
      <c r="P139" s="45"/>
      <c r="W139" s="44"/>
      <c r="AE139" s="45"/>
      <c r="AV139" s="46"/>
      <c r="AW139" s="46"/>
      <c r="AY139" s="46"/>
      <c r="AZ139" s="46"/>
      <c r="BE139" s="44"/>
      <c r="BZ139" s="54"/>
      <c r="CA139" s="54"/>
      <c r="CB139" s="54"/>
      <c r="CC139" s="54"/>
      <c r="CD139" s="54"/>
      <c r="CE139" s="54"/>
    </row>
    <row r="140" spans="14:83" s="43" customFormat="1">
      <c r="N140" s="44"/>
      <c r="O140" s="47"/>
      <c r="P140" s="45"/>
      <c r="W140" s="44"/>
      <c r="AE140" s="45"/>
      <c r="AV140" s="46"/>
      <c r="AW140" s="46"/>
      <c r="AY140" s="46"/>
      <c r="AZ140" s="46"/>
      <c r="BE140" s="44"/>
      <c r="BZ140" s="54"/>
      <c r="CA140" s="54"/>
      <c r="CB140" s="54"/>
      <c r="CC140" s="54"/>
      <c r="CD140" s="54"/>
      <c r="CE140" s="54"/>
    </row>
    <row r="141" spans="14:83" s="43" customFormat="1">
      <c r="N141" s="44"/>
      <c r="O141" s="47"/>
      <c r="P141" s="45"/>
      <c r="W141" s="44"/>
      <c r="AE141" s="45"/>
      <c r="AV141" s="46"/>
      <c r="AW141" s="46"/>
      <c r="AY141" s="46"/>
      <c r="AZ141" s="46"/>
      <c r="BE141" s="44"/>
      <c r="BZ141" s="54"/>
      <c r="CA141" s="54"/>
      <c r="CB141" s="54"/>
      <c r="CC141" s="54"/>
      <c r="CD141" s="54"/>
      <c r="CE141" s="54"/>
    </row>
    <row r="142" spans="14:83" s="43" customFormat="1">
      <c r="N142" s="44"/>
      <c r="O142" s="47"/>
      <c r="P142" s="45"/>
      <c r="W142" s="44"/>
      <c r="AE142" s="45"/>
      <c r="AV142" s="46"/>
      <c r="AW142" s="46"/>
      <c r="AY142" s="46"/>
      <c r="AZ142" s="46"/>
      <c r="BE142" s="44"/>
      <c r="BZ142" s="54"/>
      <c r="CA142" s="54"/>
      <c r="CB142" s="54"/>
      <c r="CC142" s="54"/>
      <c r="CD142" s="54"/>
      <c r="CE142" s="54"/>
    </row>
    <row r="143" spans="14:83" s="43" customFormat="1">
      <c r="N143" s="44"/>
      <c r="O143" s="47"/>
      <c r="P143" s="45"/>
      <c r="W143" s="44"/>
      <c r="AE143" s="45"/>
      <c r="AV143" s="46"/>
      <c r="AW143" s="46"/>
      <c r="AY143" s="46"/>
      <c r="AZ143" s="46"/>
      <c r="BE143" s="44"/>
      <c r="BZ143" s="54"/>
      <c r="CA143" s="54"/>
      <c r="CB143" s="54"/>
      <c r="CC143" s="54"/>
      <c r="CD143" s="54"/>
      <c r="CE143" s="54"/>
    </row>
    <row r="144" spans="14:83" s="43" customFormat="1">
      <c r="N144" s="44"/>
      <c r="O144" s="47"/>
      <c r="P144" s="45"/>
      <c r="W144" s="44"/>
      <c r="AE144" s="45"/>
      <c r="AV144" s="46"/>
      <c r="AW144" s="46"/>
      <c r="AY144" s="46"/>
      <c r="AZ144" s="46"/>
      <c r="BE144" s="44"/>
      <c r="BZ144" s="54"/>
      <c r="CA144" s="54"/>
      <c r="CB144" s="54"/>
      <c r="CC144" s="54"/>
      <c r="CD144" s="54"/>
      <c r="CE144" s="54"/>
    </row>
    <row r="145" spans="14:83" s="43" customFormat="1">
      <c r="N145" s="44"/>
      <c r="O145" s="47"/>
      <c r="P145" s="45"/>
      <c r="W145" s="44"/>
      <c r="AE145" s="45"/>
      <c r="AV145" s="46"/>
      <c r="AW145" s="46"/>
      <c r="AY145" s="46"/>
      <c r="AZ145" s="46"/>
      <c r="BE145" s="44"/>
      <c r="BZ145" s="54"/>
      <c r="CA145" s="54"/>
      <c r="CB145" s="54"/>
      <c r="CC145" s="54"/>
      <c r="CD145" s="54"/>
      <c r="CE145" s="54"/>
    </row>
    <row r="146" spans="14:83" s="43" customFormat="1">
      <c r="N146" s="44"/>
      <c r="O146" s="47"/>
      <c r="P146" s="45"/>
      <c r="W146" s="44"/>
      <c r="AE146" s="45"/>
      <c r="AV146" s="46"/>
      <c r="AW146" s="46"/>
      <c r="AY146" s="46"/>
      <c r="AZ146" s="46"/>
      <c r="BE146" s="44"/>
      <c r="BZ146" s="54"/>
      <c r="CA146" s="54"/>
      <c r="CB146" s="54"/>
      <c r="CC146" s="54"/>
      <c r="CD146" s="54"/>
      <c r="CE146" s="54"/>
    </row>
    <row r="147" spans="14:83" s="43" customFormat="1">
      <c r="N147" s="44"/>
      <c r="O147" s="47"/>
      <c r="P147" s="45"/>
      <c r="W147" s="44"/>
      <c r="AE147" s="45"/>
      <c r="AV147" s="46"/>
      <c r="AW147" s="46"/>
      <c r="AY147" s="46"/>
      <c r="AZ147" s="46"/>
      <c r="BE147" s="44"/>
      <c r="BZ147" s="54"/>
      <c r="CA147" s="54"/>
      <c r="CB147" s="54"/>
      <c r="CC147" s="54"/>
      <c r="CD147" s="54"/>
      <c r="CE147" s="54"/>
    </row>
    <row r="148" spans="14:83" s="43" customFormat="1">
      <c r="N148" s="44"/>
      <c r="O148" s="47"/>
      <c r="P148" s="45"/>
      <c r="W148" s="44"/>
      <c r="AE148" s="45"/>
      <c r="AV148" s="46"/>
      <c r="AW148" s="46"/>
      <c r="AY148" s="46"/>
      <c r="AZ148" s="46"/>
      <c r="BE148" s="44"/>
      <c r="BZ148" s="54"/>
      <c r="CA148" s="54"/>
      <c r="CB148" s="54"/>
      <c r="CC148" s="54"/>
      <c r="CD148" s="54"/>
      <c r="CE148" s="54"/>
    </row>
    <row r="149" spans="14:83" s="43" customFormat="1">
      <c r="N149" s="44"/>
      <c r="O149" s="47"/>
      <c r="P149" s="45"/>
      <c r="W149" s="44"/>
      <c r="AE149" s="45"/>
      <c r="AV149" s="46"/>
      <c r="AW149" s="46"/>
      <c r="AY149" s="46"/>
      <c r="AZ149" s="46"/>
      <c r="BE149" s="44"/>
      <c r="BZ149" s="54"/>
      <c r="CA149" s="54"/>
      <c r="CB149" s="54"/>
      <c r="CC149" s="54"/>
      <c r="CD149" s="54"/>
      <c r="CE149" s="54"/>
    </row>
    <row r="150" spans="14:83" s="43" customFormat="1">
      <c r="N150" s="44"/>
      <c r="O150" s="47"/>
      <c r="P150" s="45"/>
      <c r="W150" s="44"/>
      <c r="AE150" s="45"/>
      <c r="AV150" s="46"/>
      <c r="AW150" s="46"/>
      <c r="AY150" s="46"/>
      <c r="AZ150" s="46"/>
      <c r="BE150" s="44"/>
      <c r="BZ150" s="54"/>
      <c r="CA150" s="54"/>
      <c r="CB150" s="54"/>
      <c r="CC150" s="54"/>
      <c r="CD150" s="54"/>
      <c r="CE150" s="54"/>
    </row>
    <row r="151" spans="14:83" s="43" customFormat="1">
      <c r="N151" s="44"/>
      <c r="O151" s="47"/>
      <c r="P151" s="45"/>
      <c r="W151" s="44"/>
      <c r="AE151" s="45"/>
      <c r="AV151" s="46"/>
      <c r="AW151" s="46"/>
      <c r="AY151" s="46"/>
      <c r="AZ151" s="46"/>
      <c r="BE151" s="44"/>
      <c r="BZ151" s="54"/>
      <c r="CA151" s="54"/>
      <c r="CB151" s="54"/>
      <c r="CC151" s="54"/>
      <c r="CD151" s="54"/>
      <c r="CE151" s="54"/>
    </row>
    <row r="152" spans="14:83" s="43" customFormat="1">
      <c r="N152" s="44"/>
      <c r="O152" s="47"/>
      <c r="P152" s="45"/>
      <c r="W152" s="44"/>
      <c r="AE152" s="45"/>
      <c r="AV152" s="46"/>
      <c r="AW152" s="46"/>
      <c r="AY152" s="46"/>
      <c r="AZ152" s="46"/>
      <c r="BE152" s="44"/>
      <c r="BZ152" s="54"/>
      <c r="CA152" s="54"/>
      <c r="CB152" s="54"/>
      <c r="CC152" s="54"/>
      <c r="CD152" s="54"/>
      <c r="CE152" s="54"/>
    </row>
    <row r="153" spans="14:83" s="43" customFormat="1">
      <c r="N153" s="44"/>
      <c r="O153" s="47"/>
      <c r="P153" s="45"/>
      <c r="W153" s="44"/>
      <c r="AE153" s="45"/>
      <c r="AV153" s="46"/>
      <c r="AW153" s="46"/>
      <c r="AY153" s="46"/>
      <c r="AZ153" s="46"/>
      <c r="BE153" s="44"/>
      <c r="BZ153" s="54"/>
      <c r="CA153" s="54"/>
      <c r="CB153" s="54"/>
      <c r="CC153" s="54"/>
      <c r="CD153" s="54"/>
      <c r="CE153" s="54"/>
    </row>
    <row r="154" spans="14:83" s="43" customFormat="1">
      <c r="N154" s="44"/>
      <c r="O154" s="47"/>
      <c r="P154" s="45"/>
      <c r="W154" s="44"/>
      <c r="AE154" s="45"/>
      <c r="AV154" s="46"/>
      <c r="AW154" s="46"/>
      <c r="AY154" s="46"/>
      <c r="AZ154" s="46"/>
      <c r="BE154" s="44"/>
      <c r="BZ154" s="54"/>
      <c r="CA154" s="54"/>
      <c r="CB154" s="54"/>
      <c r="CC154" s="54"/>
      <c r="CD154" s="54"/>
      <c r="CE154" s="54"/>
    </row>
    <row r="155" spans="14:83" s="43" customFormat="1">
      <c r="N155" s="44"/>
      <c r="O155" s="47"/>
      <c r="P155" s="45"/>
      <c r="W155" s="44"/>
      <c r="AE155" s="45"/>
      <c r="AV155" s="46"/>
      <c r="AW155" s="46"/>
      <c r="AY155" s="46"/>
      <c r="AZ155" s="46"/>
      <c r="BE155" s="44"/>
      <c r="BZ155" s="54"/>
      <c r="CA155" s="54"/>
      <c r="CB155" s="54"/>
      <c r="CC155" s="54"/>
      <c r="CD155" s="54"/>
      <c r="CE155" s="54"/>
    </row>
    <row r="156" spans="14:83" s="43" customFormat="1">
      <c r="N156" s="44"/>
      <c r="O156" s="47"/>
      <c r="P156" s="45"/>
      <c r="W156" s="44"/>
      <c r="AE156" s="45"/>
      <c r="AV156" s="46"/>
      <c r="AW156" s="46"/>
      <c r="AY156" s="46"/>
      <c r="AZ156" s="46"/>
      <c r="BE156" s="44"/>
      <c r="BZ156" s="54"/>
      <c r="CA156" s="54"/>
      <c r="CB156" s="54"/>
      <c r="CC156" s="54"/>
      <c r="CD156" s="54"/>
      <c r="CE156" s="54"/>
    </row>
    <row r="157" spans="14:83" s="43" customFormat="1">
      <c r="N157" s="44"/>
      <c r="O157" s="47"/>
      <c r="P157" s="45"/>
      <c r="W157" s="44"/>
      <c r="AE157" s="45"/>
      <c r="AV157" s="46"/>
      <c r="AW157" s="46"/>
      <c r="AY157" s="46"/>
      <c r="AZ157" s="46"/>
      <c r="BE157" s="44"/>
      <c r="BZ157" s="54"/>
      <c r="CA157" s="54"/>
      <c r="CB157" s="54"/>
      <c r="CC157" s="54"/>
      <c r="CD157" s="54"/>
      <c r="CE157" s="54"/>
    </row>
    <row r="158" spans="14:83" s="43" customFormat="1">
      <c r="N158" s="44"/>
      <c r="O158" s="47"/>
      <c r="P158" s="45"/>
      <c r="W158" s="44"/>
      <c r="AE158" s="45"/>
      <c r="AV158" s="46"/>
      <c r="AW158" s="46"/>
      <c r="AY158" s="46"/>
      <c r="AZ158" s="46"/>
      <c r="BE158" s="44"/>
      <c r="BZ158" s="54"/>
      <c r="CA158" s="54"/>
      <c r="CB158" s="54"/>
      <c r="CC158" s="54"/>
      <c r="CD158" s="54"/>
      <c r="CE158" s="54"/>
    </row>
    <row r="159" spans="14:83" s="43" customFormat="1">
      <c r="N159" s="44"/>
      <c r="O159" s="47"/>
      <c r="P159" s="45"/>
      <c r="W159" s="44"/>
      <c r="AE159" s="45"/>
      <c r="AV159" s="46"/>
      <c r="AW159" s="46"/>
      <c r="AY159" s="46"/>
      <c r="AZ159" s="46"/>
      <c r="BE159" s="44"/>
      <c r="BZ159" s="54"/>
      <c r="CA159" s="54"/>
      <c r="CB159" s="54"/>
      <c r="CC159" s="54"/>
      <c r="CD159" s="54"/>
      <c r="CE159" s="54"/>
    </row>
    <row r="160" spans="14:83" s="43" customFormat="1">
      <c r="N160" s="44"/>
      <c r="O160" s="47"/>
      <c r="P160" s="45"/>
      <c r="W160" s="44"/>
      <c r="AE160" s="45"/>
      <c r="AV160" s="46"/>
      <c r="AW160" s="46"/>
      <c r="AY160" s="46"/>
      <c r="AZ160" s="46"/>
      <c r="BE160" s="44"/>
      <c r="BZ160" s="54"/>
      <c r="CA160" s="54"/>
      <c r="CB160" s="54"/>
      <c r="CC160" s="54"/>
      <c r="CD160" s="54"/>
      <c r="CE160" s="54"/>
    </row>
    <row r="161" spans="14:83" s="43" customFormat="1">
      <c r="N161" s="44"/>
      <c r="O161" s="47"/>
      <c r="P161" s="45"/>
      <c r="W161" s="44"/>
      <c r="AE161" s="45"/>
      <c r="AV161" s="46"/>
      <c r="AW161" s="46"/>
      <c r="AY161" s="46"/>
      <c r="AZ161" s="46"/>
      <c r="BE161" s="44"/>
      <c r="BZ161" s="54"/>
      <c r="CA161" s="54"/>
      <c r="CB161" s="54"/>
      <c r="CC161" s="54"/>
      <c r="CD161" s="54"/>
      <c r="CE161" s="54"/>
    </row>
    <row r="162" spans="14:83" s="43" customFormat="1">
      <c r="N162" s="44"/>
      <c r="O162" s="47"/>
      <c r="P162" s="45"/>
      <c r="W162" s="44"/>
      <c r="AE162" s="45"/>
      <c r="AV162" s="46"/>
      <c r="AW162" s="46"/>
      <c r="AY162" s="46"/>
      <c r="AZ162" s="46"/>
      <c r="BE162" s="44"/>
      <c r="BZ162" s="54"/>
      <c r="CA162" s="54"/>
      <c r="CB162" s="54"/>
      <c r="CC162" s="54"/>
      <c r="CD162" s="54"/>
      <c r="CE162" s="54"/>
    </row>
    <row r="163" spans="14:83" s="43" customFormat="1">
      <c r="N163" s="44"/>
      <c r="O163" s="47"/>
      <c r="P163" s="45"/>
      <c r="W163" s="44"/>
      <c r="AE163" s="45"/>
      <c r="AV163" s="46"/>
      <c r="AW163" s="46"/>
      <c r="AY163" s="46"/>
      <c r="AZ163" s="46"/>
      <c r="BE163" s="44"/>
      <c r="BZ163" s="54"/>
      <c r="CA163" s="54"/>
      <c r="CB163" s="54"/>
      <c r="CC163" s="54"/>
      <c r="CD163" s="54"/>
      <c r="CE163" s="54"/>
    </row>
    <row r="164" spans="14:83" s="43" customFormat="1">
      <c r="N164" s="44"/>
      <c r="O164" s="47"/>
      <c r="P164" s="45"/>
      <c r="W164" s="44"/>
      <c r="AE164" s="45"/>
      <c r="AV164" s="46"/>
      <c r="AW164" s="46"/>
      <c r="AY164" s="46"/>
      <c r="AZ164" s="46"/>
      <c r="BE164" s="44"/>
      <c r="BZ164" s="54"/>
      <c r="CA164" s="54"/>
      <c r="CB164" s="54"/>
      <c r="CC164" s="54"/>
      <c r="CD164" s="54"/>
      <c r="CE164" s="54"/>
    </row>
    <row r="165" spans="14:83" s="43" customFormat="1">
      <c r="N165" s="44"/>
      <c r="O165" s="47"/>
      <c r="P165" s="45"/>
      <c r="W165" s="44"/>
      <c r="AE165" s="45"/>
      <c r="AV165" s="46"/>
      <c r="AW165" s="46"/>
      <c r="AY165" s="46"/>
      <c r="AZ165" s="46"/>
      <c r="BE165" s="44"/>
      <c r="BZ165" s="54"/>
      <c r="CA165" s="54"/>
      <c r="CB165" s="54"/>
      <c r="CC165" s="54"/>
      <c r="CD165" s="54"/>
      <c r="CE165" s="54"/>
    </row>
    <row r="166" spans="14:83" s="43" customFormat="1">
      <c r="N166" s="44"/>
      <c r="O166" s="47"/>
      <c r="P166" s="45"/>
      <c r="W166" s="44"/>
      <c r="AE166" s="45"/>
      <c r="AV166" s="46"/>
      <c r="AW166" s="46"/>
      <c r="AY166" s="46"/>
      <c r="AZ166" s="46"/>
      <c r="BE166" s="44"/>
      <c r="BZ166" s="54"/>
      <c r="CA166" s="54"/>
      <c r="CB166" s="54"/>
      <c r="CC166" s="54"/>
      <c r="CD166" s="54"/>
      <c r="CE166" s="54"/>
    </row>
    <row r="167" spans="14:83" s="43" customFormat="1">
      <c r="N167" s="44"/>
      <c r="O167" s="47"/>
      <c r="P167" s="45"/>
      <c r="W167" s="44"/>
      <c r="AE167" s="45"/>
      <c r="AV167" s="46"/>
      <c r="AW167" s="46"/>
      <c r="AY167" s="46"/>
      <c r="AZ167" s="46"/>
      <c r="BE167" s="44"/>
      <c r="BZ167" s="54"/>
      <c r="CA167" s="54"/>
      <c r="CB167" s="54"/>
      <c r="CC167" s="54"/>
      <c r="CD167" s="54"/>
      <c r="CE167" s="54"/>
    </row>
    <row r="168" spans="14:83" s="43" customFormat="1">
      <c r="N168" s="44"/>
      <c r="O168" s="47"/>
      <c r="P168" s="45"/>
      <c r="W168" s="44"/>
      <c r="AE168" s="45"/>
      <c r="AV168" s="46"/>
      <c r="AW168" s="46"/>
      <c r="AY168" s="46"/>
      <c r="AZ168" s="46"/>
      <c r="BE168" s="44"/>
      <c r="BZ168" s="54"/>
      <c r="CA168" s="54"/>
      <c r="CB168" s="54"/>
      <c r="CC168" s="54"/>
      <c r="CD168" s="54"/>
      <c r="CE168" s="54"/>
    </row>
    <row r="169" spans="14:83" s="43" customFormat="1">
      <c r="N169" s="44"/>
      <c r="O169" s="47"/>
      <c r="P169" s="45"/>
      <c r="W169" s="44"/>
      <c r="AE169" s="45"/>
      <c r="AV169" s="46"/>
      <c r="AW169" s="46"/>
      <c r="AY169" s="46"/>
      <c r="AZ169" s="46"/>
      <c r="BE169" s="44"/>
      <c r="BZ169" s="54"/>
      <c r="CA169" s="54"/>
      <c r="CB169" s="54"/>
      <c r="CC169" s="54"/>
      <c r="CD169" s="54"/>
      <c r="CE169" s="54"/>
    </row>
    <row r="170" spans="14:83" s="43" customFormat="1">
      <c r="N170" s="44"/>
      <c r="O170" s="47"/>
      <c r="P170" s="45"/>
      <c r="W170" s="44"/>
      <c r="AE170" s="45"/>
      <c r="AV170" s="46"/>
      <c r="AW170" s="46"/>
      <c r="AY170" s="46"/>
      <c r="AZ170" s="46"/>
      <c r="BE170" s="44"/>
      <c r="BZ170" s="54"/>
      <c r="CA170" s="54"/>
      <c r="CB170" s="54"/>
      <c r="CC170" s="54"/>
      <c r="CD170" s="54"/>
      <c r="CE170" s="54"/>
    </row>
    <row r="171" spans="14:83" s="43" customFormat="1">
      <c r="N171" s="44"/>
      <c r="O171" s="47"/>
      <c r="P171" s="45"/>
      <c r="W171" s="44"/>
      <c r="AE171" s="45"/>
      <c r="AV171" s="46"/>
      <c r="AW171" s="46"/>
      <c r="AY171" s="46"/>
      <c r="AZ171" s="46"/>
      <c r="BE171" s="44"/>
      <c r="BZ171" s="54"/>
      <c r="CA171" s="54"/>
      <c r="CB171" s="54"/>
      <c r="CC171" s="54"/>
      <c r="CD171" s="54"/>
      <c r="CE171" s="54"/>
    </row>
    <row r="172" spans="14:83" s="43" customFormat="1">
      <c r="N172" s="44"/>
      <c r="O172" s="47"/>
      <c r="P172" s="45"/>
      <c r="W172" s="44"/>
      <c r="AE172" s="45"/>
      <c r="AV172" s="46"/>
      <c r="AW172" s="46"/>
      <c r="AY172" s="46"/>
      <c r="AZ172" s="46"/>
      <c r="BE172" s="44"/>
      <c r="BZ172" s="54"/>
      <c r="CA172" s="54"/>
      <c r="CB172" s="54"/>
      <c r="CC172" s="54"/>
      <c r="CD172" s="54"/>
      <c r="CE172" s="54"/>
    </row>
    <row r="173" spans="14:83" s="43" customFormat="1">
      <c r="AV173" s="46"/>
      <c r="AW173" s="46"/>
      <c r="AY173" s="46"/>
      <c r="AZ173" s="46"/>
      <c r="BE173" s="44"/>
      <c r="BZ173" s="54"/>
      <c r="CA173" s="54"/>
      <c r="CB173" s="54"/>
      <c r="CC173" s="54"/>
      <c r="CD173" s="54"/>
      <c r="CE173" s="54"/>
    </row>
    <row r="174" spans="14:83" s="43" customFormat="1">
      <c r="AV174" s="46"/>
      <c r="AW174" s="46"/>
      <c r="AY174" s="46"/>
      <c r="AZ174" s="46"/>
      <c r="BE174" s="44"/>
      <c r="BZ174" s="54"/>
      <c r="CA174" s="54"/>
      <c r="CB174" s="54"/>
      <c r="CC174" s="54"/>
      <c r="CD174" s="54"/>
      <c r="CE174" s="54"/>
    </row>
    <row r="175" spans="14:83" s="43" customFormat="1">
      <c r="AV175" s="46"/>
      <c r="AW175" s="46"/>
      <c r="AY175" s="46"/>
      <c r="AZ175" s="46"/>
      <c r="BE175" s="44"/>
      <c r="BZ175" s="54"/>
      <c r="CA175" s="54"/>
      <c r="CB175" s="54"/>
      <c r="CC175" s="54"/>
      <c r="CD175" s="54"/>
      <c r="CE175" s="54"/>
    </row>
    <row r="176" spans="14:83" s="43" customFormat="1">
      <c r="AV176" s="46"/>
      <c r="AW176" s="46"/>
      <c r="AY176" s="46"/>
      <c r="AZ176" s="46"/>
      <c r="BE176" s="44"/>
      <c r="BZ176" s="54"/>
      <c r="CA176" s="54"/>
      <c r="CB176" s="54"/>
      <c r="CC176" s="54"/>
      <c r="CD176" s="54"/>
      <c r="CE176" s="54"/>
    </row>
    <row r="177" spans="48:83" s="43" customFormat="1">
      <c r="AV177" s="46"/>
      <c r="AW177" s="46"/>
      <c r="AY177" s="46"/>
      <c r="AZ177" s="46"/>
      <c r="BE177" s="44"/>
      <c r="BZ177" s="54"/>
      <c r="CA177" s="54"/>
      <c r="CB177" s="54"/>
      <c r="CC177" s="54"/>
      <c r="CD177" s="54"/>
      <c r="CE177" s="54"/>
    </row>
    <row r="178" spans="48:83" s="43" customFormat="1">
      <c r="AV178" s="46"/>
      <c r="AW178" s="46"/>
      <c r="AY178" s="46"/>
      <c r="AZ178" s="46"/>
      <c r="BE178" s="44"/>
      <c r="BZ178" s="54"/>
      <c r="CA178" s="54"/>
      <c r="CB178" s="54"/>
      <c r="CC178" s="54"/>
      <c r="CD178" s="54"/>
      <c r="CE178" s="54"/>
    </row>
    <row r="179" spans="48:83" s="43" customFormat="1">
      <c r="AV179" s="46"/>
      <c r="AW179" s="46"/>
      <c r="AY179" s="46"/>
      <c r="AZ179" s="46"/>
      <c r="BE179" s="44"/>
      <c r="BZ179" s="54"/>
      <c r="CA179" s="54"/>
      <c r="CB179" s="54"/>
      <c r="CC179" s="54"/>
      <c r="CD179" s="54"/>
      <c r="CE179" s="54"/>
    </row>
    <row r="180" spans="48:83" s="43" customFormat="1">
      <c r="AV180" s="46"/>
      <c r="AW180" s="46"/>
      <c r="AY180" s="46"/>
      <c r="AZ180" s="46"/>
      <c r="BE180" s="44"/>
      <c r="BZ180" s="54"/>
      <c r="CA180" s="54"/>
      <c r="CB180" s="54"/>
      <c r="CC180" s="54"/>
      <c r="CD180" s="54"/>
      <c r="CE180" s="54"/>
    </row>
    <row r="181" spans="48:83" s="43" customFormat="1">
      <c r="AV181" s="46"/>
      <c r="AW181" s="46"/>
      <c r="AY181" s="46"/>
      <c r="AZ181" s="46"/>
      <c r="BE181" s="44"/>
      <c r="BZ181" s="54"/>
      <c r="CA181" s="54"/>
      <c r="CB181" s="54"/>
      <c r="CC181" s="54"/>
      <c r="CD181" s="54"/>
      <c r="CE181" s="54"/>
    </row>
    <row r="182" spans="48:83" s="43" customFormat="1">
      <c r="AV182" s="46"/>
      <c r="AW182" s="46"/>
      <c r="AY182" s="46"/>
      <c r="AZ182" s="46"/>
      <c r="BE182" s="44"/>
      <c r="BZ182" s="54"/>
      <c r="CA182" s="54"/>
      <c r="CB182" s="54"/>
      <c r="CC182" s="54"/>
      <c r="CD182" s="54"/>
      <c r="CE182" s="54"/>
    </row>
    <row r="183" spans="48:83" s="43" customFormat="1">
      <c r="AV183" s="46"/>
      <c r="AW183" s="46"/>
      <c r="AY183" s="46"/>
      <c r="AZ183" s="46"/>
      <c r="BE183" s="44"/>
      <c r="BZ183" s="54"/>
      <c r="CA183" s="54"/>
      <c r="CB183" s="54"/>
      <c r="CC183" s="54"/>
      <c r="CD183" s="54"/>
      <c r="CE183" s="54"/>
    </row>
    <row r="184" spans="48:83" s="43" customFormat="1">
      <c r="AV184" s="46"/>
      <c r="AW184" s="46"/>
      <c r="AY184" s="46"/>
      <c r="AZ184" s="46"/>
      <c r="BE184" s="44"/>
      <c r="BZ184" s="54"/>
      <c r="CA184" s="54"/>
      <c r="CB184" s="54"/>
      <c r="CC184" s="54"/>
      <c r="CD184" s="54"/>
      <c r="CE184" s="54"/>
    </row>
    <row r="185" spans="48:83" s="43" customFormat="1">
      <c r="AV185" s="46"/>
      <c r="AW185" s="46"/>
      <c r="AY185" s="46"/>
      <c r="AZ185" s="46"/>
      <c r="BE185" s="44"/>
      <c r="BZ185" s="54"/>
      <c r="CA185" s="54"/>
      <c r="CB185" s="54"/>
      <c r="CC185" s="54"/>
      <c r="CD185" s="54"/>
      <c r="CE185" s="54"/>
    </row>
  </sheetData>
  <sheetProtection algorithmName="SHA-512" hashValue="grGyRs+Tv4dvxKzU8TpJ4L9hJOYpDepFfsG7OzLP+a93qA/Lf8hbHdUcW4CWUuBuoIsNy8AFf1z3fu6Ggwq7ag==" saltValue="Q3PPHGCASJ9b5/2ddA69AA==" spinCount="100000" sheet="1" objects="1" scenarios="1"/>
  <sortState ref="A2:DA56">
    <sortCondition ref="B2:B5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75"/>
  <sheetViews>
    <sheetView workbookViewId="0">
      <selection activeCell="A9" sqref="A9"/>
    </sheetView>
  </sheetViews>
  <sheetFormatPr baseColWidth="10" defaultRowHeight="12.75"/>
  <cols>
    <col min="1" max="1" width="35.42578125" bestFit="1" customWidth="1"/>
  </cols>
  <sheetData>
    <row r="1" spans="1:8">
      <c r="A1" t="s">
        <v>324</v>
      </c>
      <c r="B1" t="s">
        <v>325</v>
      </c>
      <c r="C1" t="s">
        <v>328</v>
      </c>
      <c r="D1" t="s">
        <v>330</v>
      </c>
      <c r="E1" t="s">
        <v>329</v>
      </c>
      <c r="F1" t="s">
        <v>327</v>
      </c>
      <c r="G1" t="s">
        <v>326</v>
      </c>
      <c r="H1" t="s">
        <v>331</v>
      </c>
    </row>
    <row r="2" spans="1:8">
      <c r="A2" t="s">
        <v>332</v>
      </c>
      <c r="B2" t="s">
        <v>333</v>
      </c>
      <c r="C2">
        <v>0</v>
      </c>
      <c r="D2">
        <v>0</v>
      </c>
      <c r="E2">
        <v>0</v>
      </c>
      <c r="F2">
        <v>219</v>
      </c>
      <c r="G2">
        <v>23</v>
      </c>
      <c r="H2">
        <v>0</v>
      </c>
    </row>
    <row r="3" spans="1:8">
      <c r="A3" t="s">
        <v>334</v>
      </c>
      <c r="B3" t="s">
        <v>242</v>
      </c>
      <c r="C3">
        <v>428</v>
      </c>
      <c r="D3">
        <v>0</v>
      </c>
      <c r="E3">
        <v>0</v>
      </c>
      <c r="F3">
        <v>0</v>
      </c>
      <c r="G3">
        <v>0</v>
      </c>
      <c r="H3">
        <v>0</v>
      </c>
    </row>
    <row r="4" spans="1:8">
      <c r="A4" t="s">
        <v>335</v>
      </c>
      <c r="B4" t="s">
        <v>336</v>
      </c>
      <c r="C4">
        <v>0</v>
      </c>
      <c r="D4">
        <v>0</v>
      </c>
      <c r="E4">
        <v>0</v>
      </c>
      <c r="F4">
        <v>432</v>
      </c>
      <c r="G4">
        <v>76</v>
      </c>
      <c r="H4">
        <v>0</v>
      </c>
    </row>
    <row r="5" spans="1:8">
      <c r="A5" t="s">
        <v>337</v>
      </c>
      <c r="B5" t="s">
        <v>338</v>
      </c>
      <c r="C5">
        <v>0</v>
      </c>
      <c r="D5">
        <v>0</v>
      </c>
      <c r="E5">
        <v>361</v>
      </c>
      <c r="F5">
        <v>0</v>
      </c>
      <c r="G5">
        <v>0</v>
      </c>
      <c r="H5">
        <v>0</v>
      </c>
    </row>
    <row r="6" spans="1:8">
      <c r="A6" t="s">
        <v>339</v>
      </c>
      <c r="B6" t="s">
        <v>340</v>
      </c>
      <c r="C6">
        <v>0</v>
      </c>
      <c r="D6">
        <v>0</v>
      </c>
      <c r="E6">
        <v>0</v>
      </c>
      <c r="F6">
        <v>855</v>
      </c>
      <c r="G6">
        <v>168</v>
      </c>
      <c r="H6">
        <v>0</v>
      </c>
    </row>
    <row r="7" spans="1:8">
      <c r="A7" t="s">
        <v>341</v>
      </c>
      <c r="B7" t="s">
        <v>85</v>
      </c>
      <c r="C7">
        <v>80</v>
      </c>
      <c r="D7">
        <v>0</v>
      </c>
      <c r="E7">
        <v>0</v>
      </c>
      <c r="F7">
        <v>0</v>
      </c>
      <c r="G7">
        <v>0</v>
      </c>
      <c r="H7">
        <v>0</v>
      </c>
    </row>
    <row r="8" spans="1:8">
      <c r="A8" t="s">
        <v>342</v>
      </c>
      <c r="B8" t="s">
        <v>53</v>
      </c>
      <c r="C8">
        <v>327</v>
      </c>
      <c r="D8">
        <v>0</v>
      </c>
      <c r="E8">
        <v>0</v>
      </c>
      <c r="F8">
        <v>0</v>
      </c>
      <c r="G8">
        <v>0</v>
      </c>
      <c r="H8">
        <v>0</v>
      </c>
    </row>
    <row r="9" spans="1:8">
      <c r="A9" t="s">
        <v>343</v>
      </c>
      <c r="B9" t="s">
        <v>344</v>
      </c>
      <c r="C9">
        <v>0</v>
      </c>
      <c r="D9">
        <v>0</v>
      </c>
      <c r="E9">
        <v>998</v>
      </c>
      <c r="F9">
        <v>58</v>
      </c>
      <c r="G9">
        <v>107</v>
      </c>
      <c r="H9">
        <v>0</v>
      </c>
    </row>
    <row r="10" spans="1:8">
      <c r="A10" t="s">
        <v>345</v>
      </c>
      <c r="B10" t="s">
        <v>77</v>
      </c>
      <c r="C10">
        <v>121</v>
      </c>
      <c r="D10">
        <v>0</v>
      </c>
      <c r="E10">
        <v>0</v>
      </c>
      <c r="F10">
        <v>0</v>
      </c>
      <c r="G10">
        <v>0</v>
      </c>
      <c r="H10">
        <v>0</v>
      </c>
    </row>
    <row r="11" spans="1:8">
      <c r="A11" t="s">
        <v>346</v>
      </c>
      <c r="B11" t="s">
        <v>70</v>
      </c>
      <c r="C11">
        <v>509</v>
      </c>
      <c r="D11">
        <v>45</v>
      </c>
      <c r="E11">
        <v>0</v>
      </c>
      <c r="F11">
        <v>0</v>
      </c>
      <c r="G11">
        <v>0</v>
      </c>
      <c r="H11">
        <v>0</v>
      </c>
    </row>
    <row r="12" spans="1:8">
      <c r="A12" t="s">
        <v>347</v>
      </c>
      <c r="B12" t="s">
        <v>75</v>
      </c>
      <c r="C12">
        <v>288</v>
      </c>
      <c r="D12">
        <v>0</v>
      </c>
      <c r="E12">
        <v>0</v>
      </c>
      <c r="F12">
        <v>0</v>
      </c>
      <c r="G12">
        <v>0</v>
      </c>
      <c r="H12">
        <v>0</v>
      </c>
    </row>
    <row r="13" spans="1:8">
      <c r="A13" t="s">
        <v>348</v>
      </c>
      <c r="B13" t="s">
        <v>61</v>
      </c>
      <c r="C13">
        <v>328</v>
      </c>
      <c r="D13">
        <v>0</v>
      </c>
      <c r="E13">
        <v>0</v>
      </c>
      <c r="F13">
        <v>0</v>
      </c>
      <c r="G13">
        <v>0</v>
      </c>
      <c r="H13">
        <v>0</v>
      </c>
    </row>
    <row r="14" spans="1:8">
      <c r="A14" t="s">
        <v>349</v>
      </c>
      <c r="B14" t="s">
        <v>72</v>
      </c>
      <c r="C14">
        <v>70</v>
      </c>
      <c r="D14">
        <v>0</v>
      </c>
      <c r="E14">
        <v>0</v>
      </c>
      <c r="F14">
        <v>0</v>
      </c>
      <c r="G14">
        <v>0</v>
      </c>
      <c r="H14">
        <v>0</v>
      </c>
    </row>
    <row r="15" spans="1:8">
      <c r="A15" t="s">
        <v>350</v>
      </c>
      <c r="B15" t="s">
        <v>87</v>
      </c>
      <c r="C15">
        <v>325</v>
      </c>
      <c r="D15">
        <v>0</v>
      </c>
      <c r="E15">
        <v>0</v>
      </c>
      <c r="F15">
        <v>0</v>
      </c>
      <c r="G15">
        <v>0</v>
      </c>
      <c r="H15">
        <v>0</v>
      </c>
    </row>
    <row r="16" spans="1:8">
      <c r="A16" t="s">
        <v>351</v>
      </c>
      <c r="B16" t="s">
        <v>60</v>
      </c>
      <c r="C16">
        <v>433</v>
      </c>
      <c r="D16">
        <v>63</v>
      </c>
      <c r="E16">
        <v>0</v>
      </c>
      <c r="F16">
        <v>0</v>
      </c>
      <c r="G16">
        <v>0</v>
      </c>
      <c r="H16">
        <v>0</v>
      </c>
    </row>
    <row r="17" spans="1:8">
      <c r="A17" t="s">
        <v>352</v>
      </c>
      <c r="B17" t="s">
        <v>49</v>
      </c>
      <c r="C17">
        <v>332</v>
      </c>
      <c r="D17">
        <v>60</v>
      </c>
      <c r="E17">
        <v>46</v>
      </c>
      <c r="F17">
        <v>0</v>
      </c>
      <c r="G17">
        <v>0</v>
      </c>
      <c r="H17">
        <v>0</v>
      </c>
    </row>
    <row r="18" spans="1:8">
      <c r="A18" t="s">
        <v>353</v>
      </c>
      <c r="B18" t="s">
        <v>55</v>
      </c>
      <c r="C18">
        <v>230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8">
      <c r="A19" t="s">
        <v>354</v>
      </c>
      <c r="B19" t="s">
        <v>83</v>
      </c>
      <c r="C19">
        <v>128</v>
      </c>
      <c r="D19">
        <v>49</v>
      </c>
      <c r="E19">
        <v>0</v>
      </c>
      <c r="F19">
        <v>0</v>
      </c>
      <c r="G19">
        <v>0</v>
      </c>
      <c r="H19">
        <v>0</v>
      </c>
    </row>
    <row r="20" spans="1:8">
      <c r="A20" t="s">
        <v>355</v>
      </c>
      <c r="B20" t="s">
        <v>11</v>
      </c>
      <c r="C20">
        <v>571</v>
      </c>
      <c r="D20">
        <v>72</v>
      </c>
      <c r="E20">
        <v>0</v>
      </c>
      <c r="F20">
        <v>0</v>
      </c>
      <c r="G20">
        <v>0</v>
      </c>
      <c r="H20">
        <v>0</v>
      </c>
    </row>
    <row r="21" spans="1:8">
      <c r="A21" t="s">
        <v>356</v>
      </c>
      <c r="B21" t="s">
        <v>80</v>
      </c>
      <c r="C21">
        <v>44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8">
      <c r="A22" t="s">
        <v>357</v>
      </c>
      <c r="B22" t="s">
        <v>88</v>
      </c>
      <c r="C22">
        <v>468</v>
      </c>
      <c r="D22">
        <v>65</v>
      </c>
      <c r="E22">
        <v>0</v>
      </c>
      <c r="F22">
        <v>0</v>
      </c>
      <c r="G22">
        <v>0</v>
      </c>
      <c r="H22">
        <v>0</v>
      </c>
    </row>
    <row r="23" spans="1:8">
      <c r="A23" t="s">
        <v>358</v>
      </c>
      <c r="B23" t="s">
        <v>93</v>
      </c>
      <c r="C23">
        <v>115</v>
      </c>
      <c r="D23">
        <v>0</v>
      </c>
      <c r="E23">
        <v>0</v>
      </c>
      <c r="F23">
        <v>0</v>
      </c>
      <c r="G23">
        <v>0</v>
      </c>
      <c r="H23">
        <v>0</v>
      </c>
    </row>
    <row r="24" spans="1:8">
      <c r="A24" t="s">
        <v>359</v>
      </c>
      <c r="B24" t="s">
        <v>99</v>
      </c>
      <c r="C24">
        <v>430</v>
      </c>
      <c r="D24">
        <v>0</v>
      </c>
      <c r="E24">
        <v>0</v>
      </c>
      <c r="F24">
        <v>0</v>
      </c>
      <c r="G24">
        <v>0</v>
      </c>
      <c r="H24">
        <v>0</v>
      </c>
    </row>
    <row r="25" spans="1:8">
      <c r="A25" t="s">
        <v>360</v>
      </c>
      <c r="B25" t="s">
        <v>90</v>
      </c>
      <c r="C25">
        <v>464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>
      <c r="A26" t="s">
        <v>361</v>
      </c>
      <c r="B26" t="s">
        <v>73</v>
      </c>
      <c r="C26">
        <v>149</v>
      </c>
      <c r="D26">
        <v>0</v>
      </c>
      <c r="E26">
        <v>0</v>
      </c>
      <c r="F26">
        <v>0</v>
      </c>
      <c r="G26">
        <v>0</v>
      </c>
      <c r="H26">
        <v>0</v>
      </c>
    </row>
    <row r="27" spans="1:8">
      <c r="A27" t="s">
        <v>362</v>
      </c>
      <c r="B27" t="s">
        <v>71</v>
      </c>
      <c r="C27">
        <v>157</v>
      </c>
      <c r="D27">
        <v>0</v>
      </c>
      <c r="E27">
        <v>0</v>
      </c>
      <c r="F27">
        <v>0</v>
      </c>
      <c r="G27">
        <v>0</v>
      </c>
      <c r="H27">
        <v>0</v>
      </c>
    </row>
    <row r="28" spans="1:8">
      <c r="A28" t="s">
        <v>363</v>
      </c>
      <c r="B28" t="s">
        <v>78</v>
      </c>
      <c r="C28">
        <v>156</v>
      </c>
      <c r="D28">
        <v>0</v>
      </c>
      <c r="E28">
        <v>0</v>
      </c>
      <c r="F28">
        <v>0</v>
      </c>
      <c r="G28">
        <v>0</v>
      </c>
      <c r="H28">
        <v>0</v>
      </c>
    </row>
    <row r="29" spans="1:8">
      <c r="A29" t="s">
        <v>364</v>
      </c>
      <c r="B29" t="s">
        <v>65</v>
      </c>
      <c r="C29">
        <v>119</v>
      </c>
      <c r="D29">
        <v>0</v>
      </c>
      <c r="E29">
        <v>0</v>
      </c>
      <c r="F29">
        <v>0</v>
      </c>
      <c r="G29">
        <v>0</v>
      </c>
      <c r="H29">
        <v>0</v>
      </c>
    </row>
    <row r="30" spans="1:8">
      <c r="A30" t="s">
        <v>365</v>
      </c>
      <c r="B30" t="s">
        <v>74</v>
      </c>
      <c r="C30">
        <v>154</v>
      </c>
      <c r="D30">
        <v>31</v>
      </c>
      <c r="E30">
        <v>0</v>
      </c>
      <c r="F30">
        <v>0</v>
      </c>
      <c r="G30">
        <v>0</v>
      </c>
      <c r="H30">
        <v>0</v>
      </c>
    </row>
    <row r="31" spans="1:8">
      <c r="A31" t="s">
        <v>366</v>
      </c>
      <c r="B31" t="s">
        <v>82</v>
      </c>
      <c r="C31">
        <v>83</v>
      </c>
      <c r="D31">
        <v>0</v>
      </c>
      <c r="E31">
        <v>0</v>
      </c>
      <c r="F31">
        <v>0</v>
      </c>
      <c r="G31">
        <v>0</v>
      </c>
      <c r="H31">
        <v>0</v>
      </c>
    </row>
    <row r="32" spans="1:8">
      <c r="A32" t="s">
        <v>367</v>
      </c>
      <c r="B32" t="s">
        <v>91</v>
      </c>
      <c r="C32">
        <v>588</v>
      </c>
      <c r="D32">
        <v>81</v>
      </c>
      <c r="E32">
        <v>0</v>
      </c>
      <c r="F32">
        <v>0</v>
      </c>
      <c r="G32">
        <v>0</v>
      </c>
      <c r="H32">
        <v>0</v>
      </c>
    </row>
    <row r="33" spans="1:8">
      <c r="A33" t="s">
        <v>368</v>
      </c>
      <c r="B33" t="s">
        <v>369</v>
      </c>
      <c r="C33">
        <v>0</v>
      </c>
      <c r="D33">
        <v>0</v>
      </c>
      <c r="E33">
        <v>0</v>
      </c>
      <c r="F33">
        <v>1198</v>
      </c>
      <c r="G33">
        <v>245</v>
      </c>
      <c r="H33">
        <v>9</v>
      </c>
    </row>
    <row r="34" spans="1:8">
      <c r="A34" t="s">
        <v>370</v>
      </c>
      <c r="B34" t="s">
        <v>371</v>
      </c>
      <c r="C34">
        <v>0</v>
      </c>
      <c r="D34">
        <v>0</v>
      </c>
      <c r="E34">
        <v>280</v>
      </c>
      <c r="F34">
        <v>257</v>
      </c>
      <c r="G34">
        <v>0</v>
      </c>
      <c r="H34">
        <v>0</v>
      </c>
    </row>
    <row r="35" spans="1:8">
      <c r="A35" t="s">
        <v>372</v>
      </c>
      <c r="B35" t="s">
        <v>373</v>
      </c>
      <c r="C35">
        <v>0</v>
      </c>
      <c r="D35">
        <v>0</v>
      </c>
      <c r="E35">
        <v>237</v>
      </c>
      <c r="F35">
        <v>380</v>
      </c>
      <c r="G35">
        <v>99</v>
      </c>
      <c r="H35">
        <v>0</v>
      </c>
    </row>
    <row r="36" spans="1:8">
      <c r="A36" t="s">
        <v>374</v>
      </c>
      <c r="B36" t="s">
        <v>98</v>
      </c>
      <c r="C36">
        <v>582</v>
      </c>
      <c r="D36">
        <v>0</v>
      </c>
      <c r="E36">
        <v>0</v>
      </c>
      <c r="F36">
        <v>0</v>
      </c>
      <c r="G36">
        <v>0</v>
      </c>
      <c r="H36">
        <v>0</v>
      </c>
    </row>
    <row r="37" spans="1:8">
      <c r="A37" t="s">
        <v>375</v>
      </c>
      <c r="B37" t="s">
        <v>79</v>
      </c>
      <c r="C37">
        <v>89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8">
      <c r="A38" t="s">
        <v>376</v>
      </c>
      <c r="B38" t="s">
        <v>95</v>
      </c>
      <c r="C38">
        <v>559</v>
      </c>
      <c r="D38">
        <v>65</v>
      </c>
      <c r="E38">
        <v>0</v>
      </c>
      <c r="F38">
        <v>0</v>
      </c>
      <c r="G38">
        <v>0</v>
      </c>
      <c r="H38">
        <v>0</v>
      </c>
    </row>
    <row r="39" spans="1:8">
      <c r="A39" t="s">
        <v>377</v>
      </c>
      <c r="B39" t="s">
        <v>84</v>
      </c>
      <c r="C39">
        <v>147</v>
      </c>
      <c r="D39">
        <v>0</v>
      </c>
      <c r="E39">
        <v>0</v>
      </c>
      <c r="F39">
        <v>0</v>
      </c>
      <c r="G39">
        <v>0</v>
      </c>
      <c r="H39">
        <v>0</v>
      </c>
    </row>
    <row r="40" spans="1:8">
      <c r="A40" t="s">
        <v>378</v>
      </c>
      <c r="B40" t="s">
        <v>81</v>
      </c>
      <c r="C40">
        <v>500</v>
      </c>
      <c r="D40">
        <v>75</v>
      </c>
      <c r="E40">
        <v>0</v>
      </c>
      <c r="F40">
        <v>0</v>
      </c>
      <c r="G40">
        <v>0</v>
      </c>
      <c r="H40">
        <v>0</v>
      </c>
    </row>
    <row r="41" spans="1:8">
      <c r="A41" t="s">
        <v>379</v>
      </c>
      <c r="B41" t="s">
        <v>63</v>
      </c>
      <c r="C41">
        <v>69</v>
      </c>
      <c r="D41">
        <v>0</v>
      </c>
      <c r="E41">
        <v>0</v>
      </c>
      <c r="F41">
        <v>0</v>
      </c>
      <c r="G41">
        <v>0</v>
      </c>
      <c r="H41">
        <v>0</v>
      </c>
    </row>
    <row r="42" spans="1:8">
      <c r="A42" t="s">
        <v>380</v>
      </c>
      <c r="B42" t="s">
        <v>381</v>
      </c>
      <c r="C42">
        <v>0</v>
      </c>
      <c r="D42">
        <v>0</v>
      </c>
      <c r="E42">
        <v>265</v>
      </c>
      <c r="F42">
        <v>0</v>
      </c>
      <c r="G42">
        <v>51</v>
      </c>
      <c r="H42">
        <v>0</v>
      </c>
    </row>
    <row r="43" spans="1:8">
      <c r="A43" t="s">
        <v>382</v>
      </c>
      <c r="B43" t="s">
        <v>97</v>
      </c>
      <c r="C43">
        <v>577</v>
      </c>
      <c r="D43">
        <v>0</v>
      </c>
      <c r="E43">
        <v>0</v>
      </c>
      <c r="F43">
        <v>0</v>
      </c>
      <c r="G43">
        <v>0</v>
      </c>
      <c r="H43">
        <v>0</v>
      </c>
    </row>
    <row r="44" spans="1:8">
      <c r="A44" t="s">
        <v>383</v>
      </c>
      <c r="B44" t="s">
        <v>384</v>
      </c>
      <c r="C44">
        <v>0</v>
      </c>
      <c r="D44">
        <v>0</v>
      </c>
      <c r="E44">
        <v>59</v>
      </c>
      <c r="F44">
        <v>0</v>
      </c>
      <c r="G44">
        <v>0</v>
      </c>
      <c r="H44">
        <v>0</v>
      </c>
    </row>
    <row r="45" spans="1:8">
      <c r="A45" t="s">
        <v>385</v>
      </c>
      <c r="B45" t="s">
        <v>48</v>
      </c>
      <c r="C45">
        <v>455</v>
      </c>
      <c r="D45">
        <v>0</v>
      </c>
      <c r="E45">
        <v>0</v>
      </c>
      <c r="F45">
        <v>0</v>
      </c>
      <c r="G45">
        <v>0</v>
      </c>
      <c r="H45">
        <v>0</v>
      </c>
    </row>
    <row r="46" spans="1:8">
      <c r="A46" t="s">
        <v>386</v>
      </c>
      <c r="B46" t="s">
        <v>58</v>
      </c>
      <c r="C46">
        <v>79</v>
      </c>
      <c r="D46">
        <v>0</v>
      </c>
      <c r="E46">
        <v>0</v>
      </c>
      <c r="F46">
        <v>0</v>
      </c>
      <c r="G46">
        <v>0</v>
      </c>
      <c r="H46">
        <v>0</v>
      </c>
    </row>
    <row r="47" spans="1:8">
      <c r="A47" t="s">
        <v>387</v>
      </c>
      <c r="B47" t="s">
        <v>76</v>
      </c>
      <c r="C47">
        <v>98</v>
      </c>
      <c r="D47">
        <v>0</v>
      </c>
      <c r="E47">
        <v>0</v>
      </c>
      <c r="F47">
        <v>0</v>
      </c>
      <c r="G47">
        <v>0</v>
      </c>
      <c r="H47">
        <v>0</v>
      </c>
    </row>
    <row r="48" spans="1:8">
      <c r="A48" t="s">
        <v>388</v>
      </c>
      <c r="B48" t="s">
        <v>62</v>
      </c>
      <c r="C48">
        <v>112</v>
      </c>
      <c r="D48">
        <v>30</v>
      </c>
      <c r="E48">
        <v>0</v>
      </c>
      <c r="F48">
        <v>0</v>
      </c>
      <c r="G48">
        <v>0</v>
      </c>
      <c r="H48">
        <v>0</v>
      </c>
    </row>
    <row r="49" spans="1:8">
      <c r="A49" t="s">
        <v>389</v>
      </c>
      <c r="B49" t="s">
        <v>92</v>
      </c>
      <c r="C49">
        <v>326</v>
      </c>
      <c r="D49">
        <v>0</v>
      </c>
      <c r="E49">
        <v>0</v>
      </c>
      <c r="F49">
        <v>0</v>
      </c>
      <c r="G49">
        <v>0</v>
      </c>
      <c r="H49">
        <v>0</v>
      </c>
    </row>
    <row r="50" spans="1:8">
      <c r="A50" t="s">
        <v>390</v>
      </c>
      <c r="B50" t="s">
        <v>59</v>
      </c>
      <c r="C50">
        <v>723</v>
      </c>
      <c r="D50">
        <v>0</v>
      </c>
      <c r="E50">
        <v>0</v>
      </c>
      <c r="F50">
        <v>0</v>
      </c>
      <c r="G50">
        <v>0</v>
      </c>
      <c r="H50">
        <v>0</v>
      </c>
    </row>
    <row r="51" spans="1:8">
      <c r="A51" t="s">
        <v>391</v>
      </c>
      <c r="B51" t="s">
        <v>69</v>
      </c>
      <c r="C51">
        <v>96</v>
      </c>
      <c r="D51">
        <v>0</v>
      </c>
      <c r="E51">
        <v>0</v>
      </c>
      <c r="F51">
        <v>0</v>
      </c>
      <c r="G51">
        <v>0</v>
      </c>
      <c r="H51">
        <v>0</v>
      </c>
    </row>
    <row r="52" spans="1:8">
      <c r="A52" t="s">
        <v>392</v>
      </c>
      <c r="B52" t="s">
        <v>393</v>
      </c>
      <c r="C52">
        <v>0</v>
      </c>
      <c r="D52">
        <v>0</v>
      </c>
      <c r="E52">
        <v>467</v>
      </c>
      <c r="F52">
        <v>623</v>
      </c>
      <c r="G52">
        <v>380</v>
      </c>
      <c r="H52">
        <v>0</v>
      </c>
    </row>
    <row r="53" spans="1:8">
      <c r="A53" t="s">
        <v>394</v>
      </c>
      <c r="B53" t="s">
        <v>66</v>
      </c>
      <c r="C53">
        <v>73</v>
      </c>
      <c r="D53">
        <v>0</v>
      </c>
      <c r="E53">
        <v>0</v>
      </c>
      <c r="F53">
        <v>0</v>
      </c>
      <c r="G53">
        <v>0</v>
      </c>
      <c r="H53">
        <v>0</v>
      </c>
    </row>
    <row r="54" spans="1:8">
      <c r="A54" t="s">
        <v>395</v>
      </c>
      <c r="B54" t="s">
        <v>396</v>
      </c>
      <c r="C54">
        <v>0</v>
      </c>
      <c r="D54">
        <v>0</v>
      </c>
      <c r="E54">
        <v>0</v>
      </c>
      <c r="F54">
        <v>1087</v>
      </c>
      <c r="G54">
        <v>385</v>
      </c>
      <c r="H54">
        <v>6</v>
      </c>
    </row>
    <row r="55" spans="1:8">
      <c r="A55" t="s">
        <v>397</v>
      </c>
      <c r="B55" t="s">
        <v>67</v>
      </c>
      <c r="C55">
        <v>234</v>
      </c>
      <c r="D55">
        <v>47</v>
      </c>
      <c r="E55">
        <v>0</v>
      </c>
      <c r="F55">
        <v>0</v>
      </c>
      <c r="G55">
        <v>0</v>
      </c>
      <c r="H55">
        <v>0</v>
      </c>
    </row>
    <row r="56" spans="1:8">
      <c r="A56" t="s">
        <v>398</v>
      </c>
      <c r="B56" t="s">
        <v>52</v>
      </c>
      <c r="C56">
        <v>266</v>
      </c>
      <c r="D56">
        <v>55</v>
      </c>
      <c r="E56">
        <v>0</v>
      </c>
      <c r="F56">
        <v>0</v>
      </c>
      <c r="G56">
        <v>0</v>
      </c>
      <c r="H56">
        <v>0</v>
      </c>
    </row>
    <row r="57" spans="1:8">
      <c r="A57" t="s">
        <v>399</v>
      </c>
      <c r="B57" t="s">
        <v>89</v>
      </c>
      <c r="C57">
        <v>414</v>
      </c>
      <c r="D57">
        <v>0</v>
      </c>
      <c r="E57">
        <v>0</v>
      </c>
      <c r="F57">
        <v>0</v>
      </c>
      <c r="G57">
        <v>0</v>
      </c>
      <c r="H57">
        <v>0</v>
      </c>
    </row>
    <row r="58" spans="1:8">
      <c r="A58" t="s">
        <v>400</v>
      </c>
      <c r="B58" t="s">
        <v>401</v>
      </c>
      <c r="C58">
        <v>0</v>
      </c>
      <c r="D58">
        <v>0</v>
      </c>
      <c r="E58">
        <v>530</v>
      </c>
      <c r="F58">
        <v>0</v>
      </c>
      <c r="G58">
        <v>54</v>
      </c>
      <c r="H58">
        <v>0</v>
      </c>
    </row>
    <row r="59" spans="1:8">
      <c r="A59" t="s">
        <v>402</v>
      </c>
      <c r="B59" t="s">
        <v>403</v>
      </c>
      <c r="C59">
        <v>0</v>
      </c>
      <c r="D59">
        <v>0</v>
      </c>
      <c r="E59">
        <v>183</v>
      </c>
      <c r="F59">
        <v>385</v>
      </c>
      <c r="G59">
        <v>57</v>
      </c>
      <c r="H59">
        <v>0</v>
      </c>
    </row>
    <row r="60" spans="1:8">
      <c r="A60" t="s">
        <v>404</v>
      </c>
      <c r="B60" t="s">
        <v>86</v>
      </c>
      <c r="C60">
        <v>157</v>
      </c>
      <c r="D60">
        <v>0</v>
      </c>
      <c r="E60">
        <v>0</v>
      </c>
      <c r="F60">
        <v>0</v>
      </c>
      <c r="G60">
        <v>0</v>
      </c>
      <c r="H60">
        <v>0</v>
      </c>
    </row>
    <row r="61" spans="1:8">
      <c r="A61" t="s">
        <v>405</v>
      </c>
      <c r="B61" t="s">
        <v>406</v>
      </c>
      <c r="C61">
        <v>0</v>
      </c>
      <c r="D61">
        <v>0</v>
      </c>
      <c r="E61">
        <v>246</v>
      </c>
      <c r="F61">
        <v>0</v>
      </c>
      <c r="G61">
        <v>0</v>
      </c>
      <c r="H61">
        <v>0</v>
      </c>
    </row>
    <row r="62" spans="1:8">
      <c r="A62" t="s">
        <v>407</v>
      </c>
      <c r="B62" t="s">
        <v>408</v>
      </c>
      <c r="C62">
        <v>0</v>
      </c>
      <c r="D62">
        <v>0</v>
      </c>
      <c r="E62">
        <v>289</v>
      </c>
      <c r="F62">
        <v>0</v>
      </c>
      <c r="G62">
        <v>6</v>
      </c>
      <c r="H62">
        <v>0</v>
      </c>
    </row>
    <row r="63" spans="1:8">
      <c r="A63" t="s">
        <v>409</v>
      </c>
      <c r="B63" t="s">
        <v>50</v>
      </c>
      <c r="C63">
        <v>335</v>
      </c>
      <c r="D63">
        <v>58</v>
      </c>
      <c r="E63">
        <v>0</v>
      </c>
      <c r="F63">
        <v>0</v>
      </c>
      <c r="G63">
        <v>0</v>
      </c>
      <c r="H63">
        <v>0</v>
      </c>
    </row>
    <row r="64" spans="1:8">
      <c r="A64" t="s">
        <v>410</v>
      </c>
      <c r="B64" t="s">
        <v>57</v>
      </c>
      <c r="C64">
        <v>133</v>
      </c>
      <c r="D64">
        <v>0</v>
      </c>
      <c r="E64">
        <v>0</v>
      </c>
      <c r="F64">
        <v>0</v>
      </c>
      <c r="G64">
        <v>0</v>
      </c>
      <c r="H64">
        <v>0</v>
      </c>
    </row>
    <row r="65" spans="1:8">
      <c r="A65" t="s">
        <v>411</v>
      </c>
      <c r="B65" t="s">
        <v>412</v>
      </c>
      <c r="C65">
        <v>0</v>
      </c>
      <c r="D65">
        <v>0</v>
      </c>
      <c r="E65">
        <v>425</v>
      </c>
      <c r="F65">
        <v>0</v>
      </c>
      <c r="G65">
        <v>17</v>
      </c>
      <c r="H65">
        <v>0</v>
      </c>
    </row>
    <row r="66" spans="1:8">
      <c r="A66" t="s">
        <v>413</v>
      </c>
      <c r="B66" t="s">
        <v>56</v>
      </c>
      <c r="C66">
        <v>407</v>
      </c>
      <c r="D66">
        <v>50</v>
      </c>
      <c r="E66">
        <v>0</v>
      </c>
      <c r="F66">
        <v>0</v>
      </c>
      <c r="G66">
        <v>0</v>
      </c>
      <c r="H66">
        <v>0</v>
      </c>
    </row>
    <row r="67" spans="1:8">
      <c r="A67" t="s">
        <v>414</v>
      </c>
      <c r="B67" t="s">
        <v>94</v>
      </c>
      <c r="C67">
        <v>84</v>
      </c>
      <c r="D67">
        <v>0</v>
      </c>
      <c r="E67">
        <v>0</v>
      </c>
      <c r="F67">
        <v>0</v>
      </c>
      <c r="G67">
        <v>0</v>
      </c>
      <c r="H67">
        <v>0</v>
      </c>
    </row>
    <row r="68" spans="1:8">
      <c r="A68" t="s">
        <v>415</v>
      </c>
      <c r="B68" t="s">
        <v>68</v>
      </c>
      <c r="C68">
        <v>173</v>
      </c>
      <c r="D68">
        <v>0</v>
      </c>
      <c r="E68">
        <v>0</v>
      </c>
      <c r="F68">
        <v>0</v>
      </c>
      <c r="G68">
        <v>0</v>
      </c>
      <c r="H68">
        <v>0</v>
      </c>
    </row>
    <row r="69" spans="1:8">
      <c r="A69" t="s">
        <v>416</v>
      </c>
      <c r="B69" t="s">
        <v>54</v>
      </c>
      <c r="C69">
        <v>610</v>
      </c>
      <c r="D69">
        <v>0</v>
      </c>
      <c r="E69">
        <v>0</v>
      </c>
      <c r="F69">
        <v>0</v>
      </c>
      <c r="G69">
        <v>0</v>
      </c>
      <c r="H69">
        <v>0</v>
      </c>
    </row>
    <row r="70" spans="1:8">
      <c r="A70" t="s">
        <v>416</v>
      </c>
      <c r="B70" t="s">
        <v>417</v>
      </c>
      <c r="C70">
        <v>0</v>
      </c>
      <c r="D70">
        <v>0</v>
      </c>
      <c r="E70">
        <v>336</v>
      </c>
      <c r="F70">
        <v>0</v>
      </c>
      <c r="G70">
        <v>73</v>
      </c>
      <c r="H70">
        <v>0</v>
      </c>
    </row>
    <row r="71" spans="1:8">
      <c r="A71" t="s">
        <v>418</v>
      </c>
      <c r="B71" t="s">
        <v>419</v>
      </c>
      <c r="C71">
        <v>0</v>
      </c>
      <c r="D71">
        <v>0</v>
      </c>
      <c r="E71">
        <v>237</v>
      </c>
      <c r="F71">
        <v>0</v>
      </c>
      <c r="G71">
        <v>26</v>
      </c>
      <c r="H71">
        <v>0</v>
      </c>
    </row>
    <row r="72" spans="1:8">
      <c r="A72" t="s">
        <v>420</v>
      </c>
      <c r="B72" t="s">
        <v>51</v>
      </c>
      <c r="C72">
        <v>350</v>
      </c>
      <c r="D72">
        <v>0</v>
      </c>
      <c r="E72">
        <v>43</v>
      </c>
      <c r="F72">
        <v>0</v>
      </c>
      <c r="G72">
        <v>0</v>
      </c>
      <c r="H72">
        <v>0</v>
      </c>
    </row>
    <row r="73" spans="1:8">
      <c r="A73" t="s">
        <v>421</v>
      </c>
      <c r="B73" t="s">
        <v>96</v>
      </c>
      <c r="C73">
        <v>437</v>
      </c>
      <c r="D73">
        <v>0</v>
      </c>
      <c r="E73">
        <v>0</v>
      </c>
      <c r="F73">
        <v>0</v>
      </c>
      <c r="G73">
        <v>0</v>
      </c>
      <c r="H73">
        <v>0</v>
      </c>
    </row>
    <row r="74" spans="1:8">
      <c r="A74" t="s">
        <v>422</v>
      </c>
      <c r="B74" t="s">
        <v>423</v>
      </c>
      <c r="C74">
        <v>0</v>
      </c>
      <c r="D74">
        <v>0</v>
      </c>
      <c r="E74">
        <v>184</v>
      </c>
      <c r="F74">
        <v>212</v>
      </c>
      <c r="G74">
        <v>13</v>
      </c>
      <c r="H74">
        <v>0</v>
      </c>
    </row>
    <row r="75" spans="1:8">
      <c r="A75" t="s">
        <v>424</v>
      </c>
      <c r="B75" t="s">
        <v>64</v>
      </c>
      <c r="C75">
        <v>44</v>
      </c>
      <c r="D75">
        <v>0</v>
      </c>
      <c r="E75">
        <v>0</v>
      </c>
      <c r="F75">
        <v>0</v>
      </c>
      <c r="G75">
        <v>0</v>
      </c>
      <c r="H7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Fiche clg</vt:lpstr>
      <vt:lpstr>Base_clg</vt:lpstr>
      <vt:lpstr>Extract_R_20_10_25</vt:lpstr>
      <vt:lpstr>'Fiche clg'!Zone_d_impression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iioet_lrossignol</dc:creator>
  <cp:lastModifiedBy>isounou</cp:lastModifiedBy>
  <cp:lastPrinted>2025-10-02T00:23:32Z</cp:lastPrinted>
  <dcterms:created xsi:type="dcterms:W3CDTF">2009-10-09T10:01:11Z</dcterms:created>
  <dcterms:modified xsi:type="dcterms:W3CDTF">2025-10-28T22:10:32Z</dcterms:modified>
</cp:coreProperties>
</file>